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me" sheetId="1" r:id="rId4"/>
    <sheet state="visible" name="Full" sheetId="2" r:id="rId5"/>
    <sheet state="visible" name="DDlg" sheetId="3" r:id="rId6"/>
    <sheet state="visible" name="Accomplice" sheetId="4" r:id="rId7"/>
    <sheet state="visible" name="MDlb" sheetId="5" r:id="rId8"/>
    <sheet state="visible" name="Snuff" sheetId="6" r:id="rId9"/>
    <sheet state="visible" name="Family Incest" sheetId="7" r:id="rId10"/>
    <sheet state="visible" name="Pervert Encouragement" sheetId="8" r:id="rId11"/>
    <sheet state="visible" name="BeastZoo" sheetId="9" r:id="rId12"/>
    <sheet state="visible" name="Raceplay" sheetId="10" r:id="rId13"/>
    <sheet state="visible" name="Extreme AP" sheetId="11" r:id="rId14"/>
    <sheet state="visible" name="Futa" sheetId="12" r:id="rId15"/>
    <sheet state="visible" name="AP Feet" sheetId="13" r:id="rId16"/>
    <sheet state="visible" name="Hypno" sheetId="14" r:id="rId17"/>
  </sheets>
  <definedNames>
    <definedName hidden="1" localSheetId="1" name="_xlnm._FilterDatabase">Full!$C$1:$C$1127</definedName>
    <definedName hidden="1" localSheetId="1" name="Z_750FB152_2AF6_41C7_9CDA_FB84B5974644_.wvu.FilterData">Full!$G$13</definedName>
  </definedNames>
  <calcPr/>
  <customWorkbookViews>
    <customWorkbookView activeSheetId="0" maximized="1" windowHeight="0" windowWidth="0" guid="{750FB152-2AF6-41C7-9CDA-FB84B5974644}" name="Filter 1"/>
  </customWorkbookViews>
</workbook>
</file>

<file path=xl/sharedStrings.xml><?xml version="1.0" encoding="utf-8"?>
<sst xmlns="http://schemas.openxmlformats.org/spreadsheetml/2006/main" count="2119" uniqueCount="2025">
  <si>
    <t xml:space="preserve">   </t>
  </si>
  <si>
    <t xml:space="preserve">Disclaimer: all of these audios are extreme and pure fantasy, created for the purpose of adult entertainment. </t>
  </si>
  <si>
    <t>*category links are at the bottom of the page*</t>
  </si>
  <si>
    <t>Categories</t>
  </si>
  <si>
    <t>Description</t>
  </si>
  <si>
    <t>Full List</t>
  </si>
  <si>
    <t>This contains the whole entire audio vault and can be accessed with a monthly fee</t>
  </si>
  <si>
    <t>Accomplice</t>
  </si>
  <si>
    <t>All my audios with female accomplice theme (ap)</t>
  </si>
  <si>
    <t>DDlg</t>
  </si>
  <si>
    <t>All my audios with DDlg theme (ap)</t>
  </si>
  <si>
    <t>MDlb</t>
  </si>
  <si>
    <t>All my audios with MDlb theme (ap)</t>
  </si>
  <si>
    <t>Snuff</t>
  </si>
  <si>
    <t>All my audios with Snuff theme (ap)</t>
  </si>
  <si>
    <t>Incest</t>
  </si>
  <si>
    <t>All my audios with incest theme (ap)</t>
  </si>
  <si>
    <t>Pervert Encouragement</t>
  </si>
  <si>
    <t>All my audios that have a theme of encouraging your inner pervert</t>
  </si>
  <si>
    <t>Beast/Zoo</t>
  </si>
  <si>
    <t>All my audios with beast/zoo theme (some ap, some non-ap)</t>
  </si>
  <si>
    <t>Raceplay</t>
  </si>
  <si>
    <t>All my audios with raceplay (ap)</t>
  </si>
  <si>
    <t>Extreme AP</t>
  </si>
  <si>
    <t>All my audios considered extreme ap</t>
  </si>
  <si>
    <t>Futa</t>
  </si>
  <si>
    <t>All my futa audios (ap)</t>
  </si>
  <si>
    <t>AP Feet</t>
  </si>
  <si>
    <t>All my foot fetish audios with (ap)</t>
  </si>
  <si>
    <t>Hypno</t>
  </si>
  <si>
    <t>All of my hypno audios with (ap)</t>
  </si>
  <si>
    <t>Maisie Moon's Extreme Audio Vault</t>
  </si>
  <si>
    <t>Disclaimer: The audio list belos is all fantasy &amp; roleplay and was made for adult 
entertainment, is a work of fiction, and nothing is based in reality. 
The audio is not intended to be used as encouragement or instruction. 
The creator does not condone the activities</t>
  </si>
  <si>
    <t>1 month subscription= $30</t>
  </si>
  <si>
    <t>Resub costs</t>
  </si>
  <si>
    <t>2 month subscripton= $50</t>
  </si>
  <si>
    <t>1 month $20</t>
  </si>
  <si>
    <t>3 month subscription= $70</t>
  </si>
  <si>
    <t>3 month $50</t>
  </si>
  <si>
    <t>6 month subscription= $130</t>
  </si>
  <si>
    <t>6 month $90</t>
  </si>
  <si>
    <t>1 year subscription= $200</t>
  </si>
  <si>
    <t>12 month $140</t>
  </si>
  <si>
    <t>Ref #</t>
  </si>
  <si>
    <t>Date</t>
  </si>
  <si>
    <t>Title</t>
  </si>
  <si>
    <t>Summary</t>
  </si>
  <si>
    <t>Tags</t>
  </si>
  <si>
    <t>Silent Call Female Accomplice</t>
  </si>
  <si>
    <t>I encourage the listener to touch, taste, and fuck a princess I gifted him with</t>
  </si>
  <si>
    <t>Silent Call Mommy Accomplice</t>
  </si>
  <si>
    <t>Listener is encouraged to take my own cutie</t>
  </si>
  <si>
    <t>Accomplice, oral sex, creampie</t>
  </si>
  <si>
    <t>Silent Call: Pervert Humiliation</t>
  </si>
  <si>
    <t>You enjoy two hispanic girls that are sisters while I humiliate you</t>
  </si>
  <si>
    <t>Humiliation, noncon, accomplice</t>
  </si>
  <si>
    <t>Silent Call Madame Bea’s Brothel</t>
  </si>
  <si>
    <t>Madame Bea has two little dolls for the listener</t>
  </si>
  <si>
    <t>smoking fetish, three hole sluts, face slapping, oral, noncon, accomplice</t>
  </si>
  <si>
    <t>Silent Call Boss Kidnaps &amp; Kills</t>
  </si>
  <si>
    <t>The listener kidnaps his female employee and takes everything, even her life</t>
  </si>
  <si>
    <t>throat fuck, choking, snuff</t>
  </si>
  <si>
    <t>Silent Call Perv Mommy</t>
  </si>
  <si>
    <t>Listener is encouraged to enjoy my cutie with me</t>
  </si>
  <si>
    <t>Accomplice, oral, finger, incest</t>
  </si>
  <si>
    <t>Dystopian Milking</t>
  </si>
  <si>
    <t>It's the year 2026 and the world has shifted and change. Females are now more powerful than men because only a small percentage of men have viable sperm. A government of women are milking every cock and testing for viability. You (the listener) haven't been able to successfully be milked. An inquisitor is assigned to break you down and ultimately test your cum...using the only deprave way that makes your cock hard.</t>
  </si>
  <si>
    <t>Accomplice, dystopian future, milking, brief snuff mention, pervert encouragment</t>
  </si>
  <si>
    <t>Accomplice Improv</t>
  </si>
  <si>
    <t xml:space="preserve">Me and you (listener) are in my car while I talk about fantasies </t>
  </si>
  <si>
    <t>Voyeur, accomplice, oral sex, creampie, pervert encouragement</t>
  </si>
  <si>
    <t>Babysitter Rules</t>
  </si>
  <si>
    <t xml:space="preserve">What happens with the babysitter STAYS with the babysitter. Babysitter gives two siblings a naughty lesson. </t>
  </si>
  <si>
    <t>accomplice, family incest, bro and sis</t>
  </si>
  <si>
    <t>Silent One Way Call: Dirty Ole AP</t>
  </si>
  <si>
    <t>Silent one-way call where the customer request just some filthy, straight to the point AP talk, chock full of trigger words.</t>
  </si>
  <si>
    <t>JOI-ish, daddy cock, perverted daddy, obsessed daddy, pervert encouragement</t>
  </si>
  <si>
    <t>Silent One-Way Call: Pervy Girlfriend Experience</t>
  </si>
  <si>
    <t>Real silent call where I improve the following premise: your gf finds your filthy porn history and encourages you to stay nasty</t>
  </si>
  <si>
    <t>perverted girlfriend experience, accomplice, rough, choke, femdom, corrupt, pervert encouragement, snuff</t>
  </si>
  <si>
    <t>Custom: Sadistic Abusive Mommy</t>
  </si>
  <si>
    <t>This one is pretty fucking dark. Mommy has gotten turned on physically and mentally abusing her son. She craves more. She scours dating apps for men that are into abusing little boys and finally finds a match, her son's math teacher. Mr. J comes over and they have a dark and twisted time with the boy and each other.</t>
  </si>
  <si>
    <t>twisted cuckold, mommy son, no incest, forced bi, sadistic mommy, creampie cleanup, force, impact, blowjob sounds</t>
  </si>
  <si>
    <t xml:space="preserve">Silent Call: Baby Accomplice </t>
  </si>
  <si>
    <t>Accomplice steals a tiny little one for you.</t>
  </si>
  <si>
    <t>kidnap, accomplice, extreme ap</t>
  </si>
  <si>
    <t>Real Silent One Way Call: Hardcore Daycare</t>
  </si>
  <si>
    <t>Your crazy girlfriend invites you to the daycare she works at. There's this one kid that's left there for the last hour of the day alone with her. This kid annoys the fuck of her so she invites you over there to torture her together.</t>
  </si>
  <si>
    <t>fuck pig, puke, snuff, noncon</t>
  </si>
  <si>
    <t>Silent One Way Call: Pervy Girlfriend Experience Part 3</t>
  </si>
  <si>
    <t xml:space="preserve">A girl shows up to deliver pizza and your pervy girlfriend just couldn't help herself by pulling inside and having you play with her. </t>
  </si>
  <si>
    <t>perverted gfe, accomplice, rough, snuff, kidnap</t>
  </si>
  <si>
    <t>Silent Call Futa Mommy</t>
  </si>
  <si>
    <t>Mommy has her first futa-heat since giving birth to you and uses you in an unique way.</t>
  </si>
  <si>
    <t>futa, mommy cock, mommy cunt, brain fuck, mommy cream, you turn into mommy cream for your sister, snuff</t>
  </si>
  <si>
    <t>Custom: Encourage &amp; Instruct</t>
  </si>
  <si>
    <t>Listen in while I encourage and instruct you to stroke to fantasy based images.</t>
  </si>
  <si>
    <t>JOI-ish, bukkake, oral, anal, facial, going lower and deeper, pervert encouragement</t>
  </si>
  <si>
    <t>Sadistic Babysitter (Sound Effects)</t>
  </si>
  <si>
    <t>Parents leave their baby with a babysitter for the evening. The babysitter finds the nanny cam and does evil sadistic to the baby all for the camera and her own pleasure.</t>
  </si>
  <si>
    <t>torture, sadistic, violence, abuse, snuff, broken bones</t>
  </si>
  <si>
    <t>Silent One Way Call: Perv Hypno Start/Accomplice Ending</t>
  </si>
  <si>
    <t>One way silent call where I deliver a breathy hypno-ish beginning and finish it up with an accomplice style ending where I tell the listener to take the gift I brought you.</t>
  </si>
  <si>
    <t>hyno, chock full of triggers, accomplice, intoxication, noncon, snuff</t>
  </si>
  <si>
    <t>Custom Script Fill: Step DDlg Story</t>
  </si>
  <si>
    <t xml:space="preserve">A woman recounts that one time her stepfather crossed the line. </t>
  </si>
  <si>
    <t>outercourse, ddlg, cumming on body, first female masturbation</t>
  </si>
  <si>
    <t xml:space="preserve">Custom: The Naughty Babysitter </t>
  </si>
  <si>
    <t>A babysitter has been on the job for a year. She has some evil revenge plans in store.</t>
  </si>
  <si>
    <t>babysitter, lesbian perv, scissoring, finger fucking, snuff, revenge, sadistic</t>
  </si>
  <si>
    <t>Real Silent Call: Perv Partners</t>
  </si>
  <si>
    <t>You (the listener) are a new neighbor who is a notorious sick fuck and you get a knock on the door from someone who is your biggest fan and wants to be your partner in crime</t>
  </si>
  <si>
    <t>phone sex worker got mind fucked, accomplice, snuff, noncon</t>
  </si>
  <si>
    <t>Custom: PMC Patient #98</t>
  </si>
  <si>
    <t xml:space="preserve">Dr. Beatrix admits a new patient that is into males. </t>
  </si>
  <si>
    <t>clinical setting, anal, rimming, blow job, cock milking, artificial anus, gay, fag, sissy, hypno, sph</t>
  </si>
  <si>
    <t>Real Silent Call: Uncle's First Time</t>
  </si>
  <si>
    <t>I recollect that first time that you (the listener and uncle) take what you want from me</t>
  </si>
  <si>
    <t>uncle niece, oral, gagging sounds, sex, rimming, anal sex, incest</t>
  </si>
  <si>
    <t>Custom Fill: DDlg Encouragement</t>
  </si>
  <si>
    <t xml:space="preserve">An audio story where I encourage DDlg and incest sex. </t>
  </si>
  <si>
    <t>sensual, pervert encouragement, love making, breeding, incest, ddlg</t>
  </si>
  <si>
    <t>Custom Fill: Is Little Brother Bi or Gay?</t>
  </si>
  <si>
    <t>I am your older sister and I spy on you having sex with a young boy your age. I ask if you think you're gay but you mention you're confused because you think you like girls and boys. I help you explore and help you test this out.</t>
  </si>
  <si>
    <t>boy on boy sex, bbc, brother &amp; sister, incest, blow job sounds, orgasm, rough sex, CEI</t>
  </si>
  <si>
    <t>Real Silent Call: Perv Humiliation From Mom</t>
  </si>
  <si>
    <t>I roleplay I'm a mom and I caught you red handed and humiliate &amp; degrade you.</t>
  </si>
  <si>
    <t>berate, Karen-like mom, femdomish, humiliation</t>
  </si>
  <si>
    <t>Custom Fill: Little Feet Worship</t>
  </si>
  <si>
    <t>Accomplice gifts you a cutie to worship with your dark brown cock.</t>
  </si>
  <si>
    <t>no penetration, foot job, foot worship, leg/calves fucking, precum trails, raceplay, ap feet</t>
  </si>
  <si>
    <t>Silent Call: Futa Mommy Son &amp; BBC Threesome</t>
  </si>
  <si>
    <t>Your futa mommy is going through futa heat and uses you with her friend.</t>
  </si>
  <si>
    <t>futa mommy, mommy cock, bbc, raceplay, anal, breeding, sissy, futa</t>
  </si>
  <si>
    <t>Custom Fill: Daddy's Breeding Whore</t>
  </si>
  <si>
    <t xml:space="preserve">A woman has been trained to be a breeding whore her whole life by her daddy and older brother. She's a teacher and mommy now and is still spreading her daddy's good word and her legs still. </t>
  </si>
  <si>
    <t>misogyny, groomed to be a breeding slut, breeding, ddlg, bro &amp; sis, daughter training, bad mommy, slut, fuck holes, teacher student, incest</t>
  </si>
  <si>
    <t>Custom Fill: Girlfriend's Anniversary Gift</t>
  </si>
  <si>
    <t xml:space="preserve"> Your girlfriend wants to surprise you with a special gift for your 1 year anniversary.</t>
  </si>
  <si>
    <t xml:space="preserve"> perverted girlfriend experience, accomplice, girl on girl, brief watersports, squirting, threesome </t>
  </si>
  <si>
    <t>Silent One Way: Girlfriend Humiliates You</t>
  </si>
  <si>
    <t xml:space="preserve">Your girlfriend finds you sexting with some little whore. She humiliates you for being a sick fuck and invites her over. </t>
  </si>
  <si>
    <t>twisted girlfriend experience, humiliation, snuff</t>
  </si>
  <si>
    <t>Real Silent Call: Mommy Takes You</t>
  </si>
  <si>
    <t xml:space="preserve"> For all you mommy lovers out there. My sweet boy consented and wanted others to enjoy. Mommy forcefully takes you because you're just growing up into such a strong young man</t>
  </si>
  <si>
    <t>MDlb, oral, mommy rides you, force, mommy creampie</t>
  </si>
  <si>
    <t>Silent Call: Mommy Lover Clinic</t>
  </si>
  <si>
    <t>This was such a fun and creative silent call! You (the listener) are obsessed with your mom and have intense mommy issues. Dr. Beatrix thinks she can help and forces you to be cucked, goon, and worship your mother</t>
  </si>
  <si>
    <t>cuckold, goon for mom, humiliation, big udders and mom bod, MDlb</t>
  </si>
  <si>
    <t>Silent Call: Pervert JOI</t>
  </si>
  <si>
    <t>You can't resist your nasty girlfriend. Stroke your cock JOI-ish style while I tell you exactly you are and what you desire and crave.</t>
  </si>
  <si>
    <t>JOI, deepthroat, accomplice, perverted girlfriend experience, pervert encouragement</t>
  </si>
  <si>
    <t>Custom Fill: First Date w/Bad Mom</t>
  </si>
  <si>
    <t xml:space="preserve">We met online. I was your PSO for a year. We learned we lived local to each other and decided to meet up at a park in front of playground. We scope out a couple cuties and I convince you to let me lure them in and take them back to my empty house where you have some fun with them. Afterwards, I try to do a bit of homewrecking by offering my own as free use so please come be my boyfriend! </t>
  </si>
  <si>
    <t xml:space="preserve"> accomplice, deepthroat, anal, choking, snuff, degradation, homewrecking</t>
  </si>
  <si>
    <t>Custom Fill: Mommy Directs Daughter's Final Scene</t>
  </si>
  <si>
    <t xml:space="preserve"> I am a mom and you are step daddy to my daughters. I direct a scene where you fuck our daughter one last time on film and we snuff her using a guillotine. She's been such a lucrative star for us! </t>
  </si>
  <si>
    <t>guillotine, beheading, use head after, gore, porn production, snuff</t>
  </si>
  <si>
    <t>Face It: You're a Sick Fuck</t>
  </si>
  <si>
    <t xml:space="preserve">You and I both know exactly who and what you are. Listen to me go deep as I shine that light in the darkest corners. </t>
  </si>
  <si>
    <t xml:space="preserve"> intimate, voyeur, urges &amp; desires, exposed, I own you, perv puppet, pervert encouragement</t>
  </si>
  <si>
    <t>Silent call: Girlfriend Accomplice</t>
  </si>
  <si>
    <t xml:space="preserve">As your girlfriend, I'm quite sick of jerking you off, talking about cuties, so let's just make it a reality. I pay/force a girl you're obsessed with to come over and be your toy. </t>
  </si>
  <si>
    <t>pervy gfe, tits, cunnilingus, deep throat, accomplice, pervert encouragement</t>
  </si>
  <si>
    <t>Custom Fill: Pervert JOI w/Fleshlight</t>
  </si>
  <si>
    <t xml:space="preserve">Get your fleshlight (or your hand) on your cock, close your eyes, and listen to my JOI and encourage your perv fantasies. </t>
  </si>
  <si>
    <t>JOI, , fleshlight, good boy, encouragement, fantasize about blowjob, p in v, and anal, edge, cum countdown, pervert encouragement, accomplice</t>
  </si>
  <si>
    <t>Silent Call: Vacation Barbie Fuck Doll Kidnap</t>
  </si>
  <si>
    <t xml:space="preserve">We are a couple on vacation and spot the perfect girl that we just had to kidnap and bring back home with us. </t>
  </si>
  <si>
    <t>pervy gfe, kidnap and enslave, noncon, accomplice</t>
  </si>
  <si>
    <t>Silent Call: Pervert Gooner Therapy</t>
  </si>
  <si>
    <t xml:space="preserve">This is just a ramble of my soft, feminine voice chock full of trigger words. </t>
  </si>
  <si>
    <t xml:space="preserve"> trigger word heavy, JOI-ish, cum countdown, gooning, pervert encouragement</t>
  </si>
  <si>
    <t>Silent Call: Quick &amp; Dirty, Futa Mommy Gives Birth</t>
  </si>
  <si>
    <t>Mommy is giving birth to triplets but decides the last one needs to used for her and your (big sister) pleasure</t>
  </si>
  <si>
    <t>futa, birth, used for pleasure, extreme ap</t>
  </si>
  <si>
    <t>Custom FIll: Mommy's Fuck Toy</t>
  </si>
  <si>
    <t xml:space="preserve"> am your girlfriend and I've been your mommy in the bedroom, but now that your real mom lives with us, it's time to make this fantasy into real incest with my help. </t>
  </si>
  <si>
    <t>incest, girlfriend experience, ffm threesome, mommy pussy, good boy, gentle fdom, creampie cleanup/CEI, cunnilingus, viagra because you're a fuck toy, MDlb</t>
  </si>
  <si>
    <t>Custom Fill: Pervert Daddy Hypno</t>
  </si>
  <si>
    <t>Encouraging daddy to go deeper with poppers and filthy trigger words</t>
  </si>
  <si>
    <t>hypno voice and effects, poppers, pervert enncouragement</t>
  </si>
  <si>
    <t>Silent Call: Consensual Perv Sex</t>
  </si>
  <si>
    <t xml:space="preserve">You and girl start getting hot and heavy and both of you just can't help it. You go down the forbidden road. My recording cut off towards the end so sorry for the interruption there. </t>
  </si>
  <si>
    <t xml:space="preserve"> sensual, slow build, pussy grinding, no oral, missionary, cowgirl, creampie, accomplice, pervert encouragement</t>
  </si>
  <si>
    <t>Silent Call: Mom Humiliates You</t>
  </si>
  <si>
    <t xml:space="preserve">A mom caught you peeping. She pulls you inside and humiliates you for being such a pervert. </t>
  </si>
  <si>
    <t xml:space="preserve"> fdom vibes, angry mom, humiliation, humiliated but still jerking</t>
  </si>
  <si>
    <t>Script Fill: Snuffing Girl Scouts For Charity...Impregnated &amp; Snuffed by Mommy</t>
  </si>
  <si>
    <t xml:space="preserve">Two futa girls get fucked, impregnated, and then snuffed by their futa mommy. </t>
  </si>
  <si>
    <t>Futa, breed, mommy cock, snuff</t>
  </si>
  <si>
    <t>Custom Fill: Sissy Slut Boy</t>
  </si>
  <si>
    <t xml:space="preserve">Your mommy wants you to take over your late dad's role as sissy slut for her and your sister. </t>
  </si>
  <si>
    <t xml:space="preserve"> incest, sissy, toilet training, ass gas, ass candy, bbc, bbc superiority, MDlb</t>
  </si>
  <si>
    <t>Silent Call: More Consensual Perv Sex</t>
  </si>
  <si>
    <t xml:space="preserve">She comes in your bed in her nightie, cuddles up to you, and then gets on top of you to hug you more. This hottie wants to have sex with you. </t>
  </si>
  <si>
    <t>sensual, consensual sex, no oral, missionary, cowgirl, doggie, secret, pervert encouragement</t>
  </si>
  <si>
    <t>Custom Fill: Daddy is Seduced</t>
  </si>
  <si>
    <t xml:space="preserve">Daddy gets seduced by his girl. </t>
  </si>
  <si>
    <t>no oral, cowgirl, missionary, beg daddy to cum, and creampie, DDlg</t>
  </si>
  <si>
    <t>Silent Call: Extreme Accomplice</t>
  </si>
  <si>
    <t xml:space="preserve">I bring home a lost girl and most of the perspective is me talking to the girl while you use her holes. Until I decide to take her life while she's being used. </t>
  </si>
  <si>
    <t>stolen, accomplice, oral, anal, empty promises, extreme, snuff</t>
  </si>
  <si>
    <t>Silent Call: Ramble Futa GF Snuff</t>
  </si>
  <si>
    <t xml:space="preserve">You're my futa girlfriend and I want you to use my daughter and then snuff her. </t>
  </si>
  <si>
    <t>Futa, knife play, fuck wounds, fuck brains, gore, snuff</t>
  </si>
  <si>
    <t>Silent Call/Live Script Fill: Carnal Lust</t>
  </si>
  <si>
    <t xml:space="preserve">Encouraging audio to urge you to give into your carnal desires and lust for your secret fantasy. </t>
  </si>
  <si>
    <t>consensual, sensual, temptation, turning her into nympho, pervert encouragement</t>
  </si>
  <si>
    <t>Script Fill: Stepdad's Second Chance</t>
  </si>
  <si>
    <t xml:space="preserve">She became obsessed with her stepfather after the first time she and her stepdad fooled around. They cum together again. </t>
  </si>
  <si>
    <t>stepdad/stepdaughter, panty sniffing, oral, swallowing cum, masturbating in front of stepdad, DDlg</t>
  </si>
  <si>
    <t>Silent Call: Pervert Gooner Therapy Pt 2</t>
  </si>
  <si>
    <t xml:space="preserve">Just lay back and take that cock out while I help feed your desires and urges. </t>
  </si>
  <si>
    <t>Cum countdown ending, trigger words, encouraging your fantasies, pervert encouragement</t>
  </si>
  <si>
    <t>Silent Call: Mom Threatens You</t>
  </si>
  <si>
    <t xml:space="preserve"> I lure you with my treasures, only to keep you trapped by me, threatening to out you to your wife. </t>
  </si>
  <si>
    <t>financial domination, trapped, cruel bitch, smoking, feet, femdom, accomplice</t>
  </si>
  <si>
    <t>Silent Call: Extreme Perversion Hypno Vibes</t>
  </si>
  <si>
    <t>I'm your extreme accomplice. Hypno vibes.</t>
  </si>
  <si>
    <t>accomplice, hypno, fuck holes, hatefuck</t>
  </si>
  <si>
    <t>Mommy's BNWO Lesson</t>
  </si>
  <si>
    <t xml:space="preserve">Your mom catches you masturbating and decides to give you an important lesson as a QoS. </t>
  </si>
  <si>
    <t>BNWO, cuckold, SPH, chastity, mommy finger strokes you, BBC, raceplay, MDlb</t>
  </si>
  <si>
    <t>Silent Call: Daddy's Extreme Doll JOI</t>
  </si>
  <si>
    <t xml:space="preserve">You've got a giant, violent fuckstick. Let me guide you through jerking it off. </t>
  </si>
  <si>
    <t>: perverted gfe, JOI, little ramblly but trigger heavy, cum countdown, pervert encouragement</t>
  </si>
  <si>
    <t>Silent Call: Futa Mommy Punishes You</t>
  </si>
  <si>
    <t>Mommy caught you, her babygirl, doing naughty things and teaches you a lesson</t>
  </si>
  <si>
    <t>throat fuck, mommy cock rips you apart, gore, snuff, futa</t>
  </si>
  <si>
    <t>Custom Fill: Pervert Hypnosis</t>
  </si>
  <si>
    <t xml:space="preserve">Hypnosis for getting deeper and more obsessed with your fantasies where I encourage you to wank off more to your fantasies. Countdown induction and binaural sound effect. </t>
  </si>
  <si>
    <t>hypno, gentle femdom, binaural brain massage, mind control, trance, go deeper</t>
  </si>
  <si>
    <t>Silent Call: Mommy's Snuff Whore</t>
  </si>
  <si>
    <t xml:space="preserve"> Whisper-y, hypno-ish quick and dirty mommy futa rape and snuff. </t>
  </si>
  <si>
    <t>futa, crush into mommy's cunt, snuff</t>
  </si>
  <si>
    <t>Silent Call: Mommy Fucks Your Bully</t>
  </si>
  <si>
    <t>A single mother abandons her son to live with and fuck his bully because she can't stand him.</t>
  </si>
  <si>
    <t>mommy fucks your bully, MDlb, degradation, extreme insults, SPH, self degradation</t>
  </si>
  <si>
    <t>Commission Fill: She Goes Lower</t>
  </si>
  <si>
    <t xml:space="preserve">You think you're just hooking up with an adult coworker...until she reveals a shocking secret, mid fuck. </t>
  </si>
  <si>
    <t xml:space="preserve"> seduction, kissing sounds, oral sounds, missionary, doggy style, threaten, revelation, creampie, pervert encouragement</t>
  </si>
  <si>
    <t>Silent Call: Lustful Forbidden Sex</t>
  </si>
  <si>
    <t xml:space="preserve"> I have you admit that you lust after something and describe what it would be like to give into your desires. </t>
  </si>
  <si>
    <t>sensual, girl on top, missionary, it's so wrong but feels right, pervert encouragement</t>
  </si>
  <si>
    <t>Age Reveal</t>
  </si>
  <si>
    <t>Pervy Ramblings From Miss Bea #1</t>
  </si>
  <si>
    <t>This is a new "series" if you will that is exclusive to VIP. Intended to be improv, off the cuff ramblings from my pervy head. See the tags below for an idea of what I talk about.</t>
  </si>
  <si>
    <t>fisting, pussy pop, my daddy/daughter fantasy, do I masturbate when doing audios &amp; phone sex, rambling</t>
  </si>
  <si>
    <t>Custom Fill: Proving Myself To You</t>
  </si>
  <si>
    <t>You're my boyfriend and I am a fat and ugly pig. I try to persuade why I am worth the trouble of staying with me. I do have something to offer you that's extreme</t>
  </si>
  <si>
    <t>misogyny, noncon, extreme, abuse, anal prolapse, molest, snuff</t>
  </si>
  <si>
    <t>Silent call: Perv Couple</t>
  </si>
  <si>
    <t xml:space="preserve"> I'm your kinky girlfriend and we finally snatched up a cutie to use as our fuck doll. </t>
  </si>
  <si>
    <t>oral, let's share, cowgirl, accomplice, missionary, creampie, fisting</t>
  </si>
  <si>
    <t>Perv Encouragement</t>
  </si>
  <si>
    <t xml:space="preserve">I know your secret. Listen to me tell you exactly what you crave. </t>
  </si>
  <si>
    <t>masturbation, JOI, extreme fantasies, pervert encouragement</t>
  </si>
  <si>
    <t>Silent Call: Live Metronome Hypno</t>
  </si>
  <si>
    <t xml:space="preserve"> My filthy subject wanted some hypno popper encouragement so of course I obliged. </t>
  </si>
  <si>
    <t>hypno, poppers encouragement, get high, I've ruined you for regular sex, you're obsessed fantasizing about extreme fantasies, you would do anything for me, I'm mindfucking you, it turns me on to corrupt you, snuff</t>
  </si>
  <si>
    <t>Silent Call: Live Pervert Hypno w/Binaural</t>
  </si>
  <si>
    <t>Just a trigger heavy, whispery hypno voice with binaural sound in the background</t>
  </si>
  <si>
    <t>hypno, binaural beats, cum countdown, I know your secret, accomplice, pervert encouragement</t>
  </si>
  <si>
    <t>Silent Call: Pervy GFE - Sensual &amp; Accepting</t>
  </si>
  <si>
    <t xml:space="preserve">Very soft and sensual girlfriend experience. Stroke your cock while I talk softly about how I know your dirty secrets, but it makes me love you more. </t>
  </si>
  <si>
    <t xml:space="preserve">girlfriend experience, L word bombs, acceptance, encouraging, let's fantasize about you and her, pervert encouragement </t>
  </si>
  <si>
    <t>Silent Call: Bitch Mom Calls Your Bully</t>
  </si>
  <si>
    <t xml:space="preserve"> I can't stand you (the listener), my son. You're annoying, weak, and I wish you didn't exist. I find out a boy is bullying you so I call him up and offer myself, in front of you. </t>
  </si>
  <si>
    <t>self/female degradation, worthless pig, bitch mom, stop crying, worship, SPH, MDlb</t>
  </si>
  <si>
    <t>Custom Fill: Watching Extreme Porn w/GF</t>
  </si>
  <si>
    <t xml:space="preserve">I'm your girlfriend and we usually watch extreme misogynistic adult porn together, however, I know you have a thing for even more extreme. I gift you some new porn and we enjoy together. </t>
  </si>
  <si>
    <t>misogyny, female degradation, sluts &amp; whores, pigs, mouth cunt, abuse, handjob while watching porn, accomplice</t>
  </si>
  <si>
    <t>Silent Call: Carnal Perv Sex</t>
  </si>
  <si>
    <t xml:space="preserve"> First imagine that I am able to be inside a cutie's body...what I would do to you know the secret I know about you...that you're a sick pervert. </t>
  </si>
  <si>
    <t>seduction, sensual, consensual, accomplice, pervert encouragement</t>
  </si>
  <si>
    <t>Custom Fill: Rape Cabin</t>
  </si>
  <si>
    <t xml:space="preserve">I'm your accomplice and I have some gifts for you in our secluded cabin in the woods. </t>
  </si>
  <si>
    <t>intoxication, oral, vaginal, anal, face slapping, accomplice, anal creampie, and I suck it out</t>
  </si>
  <si>
    <t>Silent Call: Trigger Word Rambling w/Binaural</t>
  </si>
  <si>
    <t xml:space="preserve">Your girlfriend is sucking your dick and letting you listen to an audio while she's doing it. You need it because guess what? Your girlfriend doesn't know how to encourage and corrupt a perv like you. </t>
  </si>
  <si>
    <t>binaural, hypno, pervert trigger words, pervert encouragement</t>
  </si>
  <si>
    <t>Script Fill: Perv Stroking</t>
  </si>
  <si>
    <t xml:space="preserve">JOI-ish where I guide you through stroking while I play a video for you of a cutie showing off her body. </t>
  </si>
  <si>
    <t xml:space="preserve"> dirty talk, masturbate for me, cam tease, gstring, pervert encouragement</t>
  </si>
  <si>
    <t>Custom Fill: Goddess Bea Hypnosis</t>
  </si>
  <si>
    <t xml:space="preserve">Erotic hypno file that urges you to go deeper and lust after your true desires. </t>
  </si>
  <si>
    <t>hypno, femdom, induction through countdown, face sitting, watersports, rimming, finger snap trigger, worship me and her</t>
  </si>
  <si>
    <t>Silent Call: Mommy Encourages Bi w/Dad</t>
  </si>
  <si>
    <t xml:space="preserve">: I wake up and catch you sucking on his daddy's cock while he's asleep. I wake dad up and encourage him to take our son. </t>
  </si>
  <si>
    <t xml:space="preserve"> encourage bi, throat fucking, male male anal, uncut cock, mommy handjob, encouraging, MDlb</t>
  </si>
  <si>
    <t>Custom Fill: Mommy Loses Her Head</t>
  </si>
  <si>
    <t xml:space="preserve">A white milf (me) introduces an adopted African man into her home for the first day. Her husband is a sissy cucky bitch and she has two daughters. She plays accomplice, cuckoldress, and misogynistic snuff slut. </t>
  </si>
  <si>
    <t>raceplay, cuckold, humiliation, snuff, guillotine, anal, cunt, deepthroat, beheaded throat rape, SPH</t>
  </si>
  <si>
    <t>Silent Call: Your Favorite Accomplice</t>
  </si>
  <si>
    <t xml:space="preserve"> I have a cutie all prepped and ready for you. I play your favorite accomplice and guide you through two loads, the final load being extreme.</t>
  </si>
  <si>
    <t xml:space="preserve"> accomplice, gooner, deepthroat, choking, creampie, facial, snuff</t>
  </si>
  <si>
    <t>Custom Fill: Pounded &amp; Gone</t>
  </si>
  <si>
    <t>Tessa (me) is one of the stars in the porn series: Cunts Pounded &amp; Outed</t>
  </si>
  <si>
    <t>extreme ending, creampie, begging, snuff</t>
  </si>
  <si>
    <t>Lesson From Daddy</t>
  </si>
  <si>
    <t xml:space="preserve"> Just a little something special to you guys here in VIP. I've been wanting to play around with some daddy/daughter fantasies because if you know me, my ultimate soft spot is there. </t>
  </si>
  <si>
    <t>masturbate, finger, innocence, show me how to have sex, cum inside me, L bombs, ddlg</t>
  </si>
  <si>
    <t>Pervy Ramblings #2</t>
  </si>
  <si>
    <t xml:space="preserve"> Exclusive to VIP and literally just pervy thoughts that are currently floating inside of mind. </t>
  </si>
  <si>
    <t>misogyny, fuck holes, dads/uncles/grandpas, hypnosis, mind control, podcast, Slut Next Door, d/s dynamic, goon club, rambling</t>
  </si>
  <si>
    <t>Silent Call: Take My Daughter</t>
  </si>
  <si>
    <t xml:space="preserve">You're my boyfriend. I'm noticing you're eyes are somewhere else. I give you permission, consent, and beg for you to take her. </t>
  </si>
  <si>
    <t>pervy GFE, no oral, no anal, L bomb, consensual, accomplice, pervert encouragement</t>
  </si>
  <si>
    <t xml:space="preserve">Custom Script Fill: Mama Has a Party </t>
  </si>
  <si>
    <t xml:space="preserve">Third person narration. A man is used as a party favor by his mom and her friends. </t>
  </si>
  <si>
    <t>forced intoxication, forced anal/bi, watersports, oral, sex, cum, MDlb</t>
  </si>
  <si>
    <t>Custom Fill: Misogynistic Slut Goes to Therapy</t>
  </si>
  <si>
    <t xml:space="preserve">A misogynistic slut (me) is required to go to therapy. She explains how she wants to be taken, how her dad made her this way, and even begs for it at the end. </t>
  </si>
  <si>
    <t xml:space="preserve"> misogyny, ddlg, incest, anti-feminist, therapist/client, facial abuse, prolapsed asshole, bulimia glamorization, three fuck holes</t>
  </si>
  <si>
    <t>Silent Call: Brat Seduces You</t>
  </si>
  <si>
    <t xml:space="preserve"> It's rare that I get to play a brat and this was fun! I'm in detention with Mr. Wilson and I offer him something in exchange for not being in trouble. </t>
  </si>
  <si>
    <t>teacher/student, begging, oral, threats, a little bratty, corruption, creampie, pervert encouragement</t>
  </si>
  <si>
    <t>Custom: Extreme Perversion Award Show</t>
  </si>
  <si>
    <t xml:space="preserve"> I am hosting an award show set in the future where every perversion is legal. I am last year's former winner of Pedo Mom of the Year and I am presenting the finalist for this year. </t>
  </si>
  <si>
    <t>awards show, extreme, you might laugh while jerking off to this, bdsm, family gangbang, incest bukkake, extreme insertions, lingerie, poppers, bimbofication, pervert encouragement</t>
  </si>
  <si>
    <t>Custom Fill: Girlfriend's Gifts</t>
  </si>
  <si>
    <t xml:space="preserve">I'm sort of traditional in that I've saved myself for you, but also just such a good, caring mom that I've groomed my daughters for the right man to come live with us and use the three of us. </t>
  </si>
  <si>
    <t>GFE, L bombs, misogyny, free use sluts, sensual, loving, kissing, double bj, cunnilingus, sample three pussies, facial cum ending, mom/daughters</t>
  </si>
  <si>
    <t>Custom: Rape Cabin Part 2</t>
  </si>
  <si>
    <t xml:space="preserve"> You (the listener) and your accomplice decide your cock needs more noncon. You pick the lower one and your accomplice wants an extreme ending. </t>
  </si>
  <si>
    <t>accomplice, unconscious, intoxicated/drugged, deep throat, cowgirl, anal, creampies, snuff</t>
  </si>
  <si>
    <t>Silent Call: Accomplice Gives You A Nudge</t>
  </si>
  <si>
    <t xml:space="preserve">I'm like a voice in your head one night when a girl comes to cuddle next to you. </t>
  </si>
  <si>
    <t>pervert encouragement, no oral, no anal, accomplice</t>
  </si>
  <si>
    <t>Silent Call: Baby Accomplice w/SFX</t>
  </si>
  <si>
    <t xml:space="preserve">I bring you something little. I use her first while I instruct you to jerk off until it's your turn to empty into her mouth. </t>
  </si>
  <si>
    <t>girl on girl, cunninlingus, fingering, finish in her mouth, accomplice, extreme ap</t>
  </si>
  <si>
    <t>Custom: Baby Monster Cock</t>
  </si>
  <si>
    <t xml:space="preserve">A little one is a medical oddity in that he has a monster 9 inch cock. I'm his doctor and I just can't help but enjoy this cock. </t>
  </si>
  <si>
    <t>doctor/patient, blow job sounds, cum drunk, creampie, anal creampie, extreme ap</t>
  </si>
  <si>
    <t>9/224</t>
  </si>
  <si>
    <t>Silent Call: Tickle Princess Gets Snuffed</t>
  </si>
  <si>
    <t>I'm your accomplice and we have a kidnapped cutie ready for you to use. You're going to use two of her holes and also tickle and snuff her.</t>
  </si>
  <si>
    <t>throat fuck, accomplice, tickled during rape, which makes her giggle and that's humiliating, creampie her after my cum countdown, snuff</t>
  </si>
  <si>
    <t>Script Fill: Futa Goodnight Blowjob</t>
  </si>
  <si>
    <t xml:space="preserve">A futa mommy gets her goodnight blowjob frmo her son but has to punish him when he fails to deepthroat her. </t>
  </si>
  <si>
    <t>mommy/son, deepthroat, loving mom punishes and turns aggressive, take mommy's milk, futa, MDlb</t>
  </si>
  <si>
    <t>Custom: Slutty Auntie Producer</t>
  </si>
  <si>
    <t xml:space="preserve">I have a prude, bitch sister that married a wealthy man and created a family. I make my own money by producing extreme porn and just being an overall slut. Well, my sister's family is living in their Escalade now after her husband lost all of his money. Guess who comes to grovel for money? </t>
  </si>
  <si>
    <t>blackmail, incest, mom/son, daddy/daughter, group sex, incest bukkake ending</t>
  </si>
  <si>
    <t>Custom: Perv Family Beginnings - Whole New World</t>
  </si>
  <si>
    <t xml:space="preserve">This might be one of my favorite audios I've created. Me (single mom) and you meet on a taboo dark web site and both have the same desires. We decide to move in together and start a new life together as a happy family. </t>
  </si>
  <si>
    <t>DDlg, mom/daughters, kissing sounds, moaning, training, incest, rimming, cunninlingus, creampie, L bomb</t>
  </si>
  <si>
    <t>Custom: Rape Cabin Part 3</t>
  </si>
  <si>
    <t xml:space="preserve">In part 2, me and Ian lost control and snuffed out one. In part 3, we realize that we can't send the other sisters back without the other one, so we make a plan and work on sister #2. </t>
  </si>
  <si>
    <t>forced intoxication, violent, throat rape, anal, abuse, sadistic, accomplice, accomplice gets off with her face, bruises, extreme, gagging sfx, snuff</t>
  </si>
  <si>
    <t>Silent Call: Mom/Girlfriend Accomplice</t>
  </si>
  <si>
    <t xml:space="preserve"> I urge and coerce you, telling you to just give into your desires. </t>
  </si>
  <si>
    <t>accomplice, some whispering, slow build up, sensual, no anal, no oral, creampie ending, pervert encouragement</t>
  </si>
  <si>
    <t>Custom BBC Perv</t>
  </si>
  <si>
    <t>You're a strong black man and I know what makes you weak</t>
  </si>
  <si>
    <t>raceplay, cock comparison, fantasy harem, cock worship</t>
  </si>
  <si>
    <t>Silent Call: Girlfriend Accomplice &amp; Small Feet Worship</t>
  </si>
  <si>
    <t xml:space="preserve">Me (your gf) and you are babysitting. I recognize something in particular is making your pants bulge so I create your first small feet worship. </t>
  </si>
  <si>
    <t>pink soles, feet, lollipop toes, foot job, smell and kiss her feet, then paint them with cum, ap feet</t>
  </si>
  <si>
    <t>Silent Call: Mom Accomplice 2</t>
  </si>
  <si>
    <t xml:space="preserve">The night after you had sex with my daughter for the first time, I call you on the phone and let you know that you and my daughter will be alone tonight and I instruct you what to do. </t>
  </si>
  <si>
    <t>accomplice, sensual, no anal, no oral, pervert encouragement</t>
  </si>
  <si>
    <t>Crying Trigger</t>
  </si>
  <si>
    <t xml:space="preserve">For the true sick fucks that enjoy being mind fucked. </t>
  </si>
  <si>
    <t>extreme ap</t>
  </si>
  <si>
    <t>Custom: Jailbait Tik Tok</t>
  </si>
  <si>
    <t xml:space="preserve">I'm your girlfriend and I caught you gooning out to tik tok. Seemed innocent at first but realized you were being a total pervert. </t>
  </si>
  <si>
    <t xml:space="preserve"> tik tok, masturbation, gooning, pervy GFE, cock tease, you can't have them but you can goon to them, pervert encouragement</t>
  </si>
  <si>
    <t>Custom: PMC Patient #101 (play 'customPMC101' first)</t>
  </si>
  <si>
    <t xml:space="preserve">Patient 101 needs more deepening and control so Dr. Beatrix intoxicates, hypnotizes, goons him out, and makes him sniff poppers. </t>
  </si>
  <si>
    <t>intoxication, PMC, egirls, tik tok cock teases, hypno, whispered trigger words, hentai girl moaning sfx, CEI, pervert encouragement</t>
  </si>
  <si>
    <t>Silent Call: Gross Babe...You're a Pervert?!</t>
  </si>
  <si>
    <t xml:space="preserve">I am your girlfriend and I find you jerking off to perverted shit. I find out your urges run deep and I degrade and humiliate you. </t>
  </si>
  <si>
    <t>gfe, fdom vibes, berating girlfriend, disgust, tik tok &amp; insta jerk off, you're sick, humiliation</t>
  </si>
  <si>
    <t>Script Fill: The Bus</t>
  </si>
  <si>
    <t xml:space="preserve"> A group celebrates their football game victory on the way home on the bus. </t>
  </si>
  <si>
    <t>group sex, anal, oral, beast, extreme use, coaches &amp; bus driver get involved, intoxication</t>
  </si>
  <si>
    <t>Silent Call: Extreme AP JOI</t>
  </si>
  <si>
    <t>Trigger heavy rambling about tiny holes</t>
  </si>
  <si>
    <t>JOI style but I'm too busy pressing triggers buttons, all the holes, dick head suckling, extreme ap</t>
  </si>
  <si>
    <t>Three Word Challenge: You Raped Me</t>
  </si>
  <si>
    <t xml:space="preserve">I had never heard of this challenge before and sincerely enjoyed it! I masturbate and create an audio using only three words. </t>
  </si>
  <si>
    <t>female masturbating, moaning, orgasm, you raped me</t>
  </si>
  <si>
    <t>Custom: Bailey Pounded &amp; Snuffed</t>
  </si>
  <si>
    <t xml:space="preserve">I play a girl that's a star of Pounded &amp; Snuffed series. I beg the new guy to pound and snuff me. </t>
  </si>
  <si>
    <t>blow job sounds, mating press, cowgirl, doggy style, moans, snuff</t>
  </si>
  <si>
    <t>Custom: PMC Patient #101 - Various Endings</t>
  </si>
  <si>
    <t xml:space="preserve">Dr. Beatrix works with patient #101 on a deeper level. She thinks you're ready to become a sissy. Note: each audio is the same first 10 min and has different endings in relation to the titles. </t>
  </si>
  <si>
    <t xml:space="preserve"> medical setting, hypno, binaural effects, moaning effects, sissy, panties, CEI, denial, ruined orgasm, anal toy, sissy pussy, sissy hole, PMC, poppers, intoxication</t>
  </si>
  <si>
    <t>Script Fill Collab With @Ellie42DDD - DMs Open : Super Cuddles</t>
  </si>
  <si>
    <t xml:space="preserve">Two female lovers are babysitting a young boy. While they are making out, they notice he is watching and touching himself. They invite him into bed for a threesome. </t>
  </si>
  <si>
    <t>shota, ffm, kissing sounds, blow job sounds, pussy licking, missionary, cowgirl, bouncing tits, MDlb</t>
  </si>
  <si>
    <t>Custom: Cuckold Switch</t>
  </si>
  <si>
    <t xml:space="preserve"> I'm your wife and we made a deal. I could fuck a BBC in front of you and then you could fill one of your fantasies that's extremely perverted. </t>
  </si>
  <si>
    <t>cuckold, cuckquean, BBC, oral, creampie, secret fantisies, pervert encouragement</t>
  </si>
  <si>
    <t>Custom: Birthday Bully &amp; Your Mom</t>
  </si>
  <si>
    <t xml:space="preserve">It's your birthday and no one showed up to your birthday party. Your sweet, loving mom turns on you once your school bully shows up and turns her into a fuck pig. </t>
  </si>
  <si>
    <t xml:space="preserve">smegma worship, loving mom, mean/verbally abusive mom, self degradation, mom degrades son, bully, MDlb, face slap, tit slapping </t>
  </si>
  <si>
    <t>Silent Call: Rape Doll</t>
  </si>
  <si>
    <t xml:space="preserve">You have a cutie captured and I am a voice inside your head saying all the things you want to hear. </t>
  </si>
  <si>
    <t>accomplice, oral, creampie, aftercare, pervert encouragement</t>
  </si>
  <si>
    <t>Pervert Mommy Podcast</t>
  </si>
  <si>
    <t xml:space="preserve"> Two moms hold a podcast promoting their Pervert Mommy &amp; Daughter Secret Retreat where moms and daughters get together for incest lesbian sexy times.</t>
  </si>
  <si>
    <t>lesbian incest, mom/daughter, PUSSY, nudist, mentions of, nipple play, cunnilingus, &amp; anal orgasms, face sitting, incest</t>
  </si>
  <si>
    <t>Tale of Two Porn Mommies</t>
  </si>
  <si>
    <t xml:space="preserve">Two porn moms give their daughters their first porn debut: two girl gangbang! </t>
  </si>
  <si>
    <t>girl on girl pegging, snuff, kissing, lingerie, porn sluts, gangbang, pervert encouragement</t>
  </si>
  <si>
    <t>Silent Call: Fuck Your Niece</t>
  </si>
  <si>
    <t xml:space="preserve"> I'm your sister and I caught you sniffing my daughter/your niece's panties. I give you what you really want. </t>
  </si>
  <si>
    <t>uncle/niece, accomplice, oral, creampie ending, incest</t>
  </si>
  <si>
    <t>Silent Call: Dad Daughter Incest</t>
  </si>
  <si>
    <t xml:space="preserve">Fantasy where you sit down and watch cp every evening with your daughter and make love during. </t>
  </si>
  <si>
    <t>ddlg, oral, cowgirl, creampie ending, harem of daughters in the future, incest, sweet, sensual, consensual, pervert encouragement</t>
  </si>
  <si>
    <t>Script Fill: Mommy's Baby Girl</t>
  </si>
  <si>
    <t xml:space="preserve">A new mom gets so turned on by her baby girl nursing, she starts masturbating during breastfeeding. Then she starts craving more from her baby girl. </t>
  </si>
  <si>
    <t>mommy/daughter, breastfeeding, female masturbation, incest, little pussy rubbing, pinky finger fingering, oral , extreme ap</t>
  </si>
  <si>
    <t>Custom: PMC Patient #216 - Non-Nude Voyeur</t>
  </si>
  <si>
    <t xml:space="preserve">Dr. Beatrix gets a new patient. His weaknesses are preteens and more voyeuristic style content. Both audios are the same for the first 13ish min, but have a different ending after. </t>
  </si>
  <si>
    <t>non-nudes, upskirt with and without panties, cock teases, cock pumping, edging, panties, cum countdown w/cum ending, cum countdown w/denial, pervert encouragement</t>
  </si>
  <si>
    <t>Baby Trigger Happy</t>
  </si>
  <si>
    <t xml:space="preserve">This was a quick and dirty off the cuff audio a member requested. Trigger filled and extremely perverted. </t>
  </si>
  <si>
    <t>quick and dirty, pregnant woman fuck, accomplice, extreme ap</t>
  </si>
  <si>
    <t>Custom: Pervert Carwash</t>
  </si>
  <si>
    <t xml:space="preserve">Me and my cheerleading squad are raising money by holding a car wash that includes extra services for men. </t>
  </si>
  <si>
    <t xml:space="preserve"> girl on girl makeout, fingering, deepthroat, anal, gape mention, anal creampie, spit roasted, ddlg, girl on girl scissoring, bukkake, cum countdown, pervert encouragement</t>
  </si>
  <si>
    <t>Silent Call: Two Girls, One Perv</t>
  </si>
  <si>
    <t xml:space="preserve">A bit rambly. Your favorite accomplice reminds you that you're addicted to depraved things. </t>
  </si>
  <si>
    <t>no anal, unconscious victim, throat rape, addiction, accomplice, enabler</t>
  </si>
  <si>
    <t>Silent Call: Mommy Accomplice Coerces You</t>
  </si>
  <si>
    <t xml:space="preserve">I'm stroking your cock and reveal that I've noticed how weak you get for my daughter. I start teasing you with her forbidden body until we go into her room where she's sleeping. </t>
  </si>
  <si>
    <t>slow burn w/creampie ending, no oral, accomplice, sensual, consensual, missionary, cowgirl, pervert encouragement</t>
  </si>
  <si>
    <t>Custom: PMC Application Denied</t>
  </si>
  <si>
    <t xml:space="preserve">You applied to the PMC, but Dr. Beatrix doesn't think you're addicted enough. I give you suggestions to deepen your addiction so you can come back and reapply. </t>
  </si>
  <si>
    <t>PMC, gooning encouragement, addiction encouragement, enabler, orgasm denial, pervert encouragement</t>
  </si>
  <si>
    <t>Custom: Mom Is Obsessed With Breeding Daughter</t>
  </si>
  <si>
    <t xml:space="preserve">You are my husband and we have a daughter. I've been obsessed with breeding her but you have been too scared to nut inside of her. I go to extreme places to make sure I get her womb bred. </t>
  </si>
  <si>
    <t>mom/daughter, breeding, Viagra mention, gangbang, little belly bump, breastfeed mention, incest, pervert incouragement</t>
  </si>
  <si>
    <t>Custom: Birthday Doggy Fuck</t>
  </si>
  <si>
    <t xml:space="preserve">It's our daughter's birthday! We want to gift her (and the dog) an amazing gift. </t>
  </si>
  <si>
    <t>training, doggy fuck, knot, doggy sperm, incest mention, consensual, creampie, beast</t>
  </si>
  <si>
    <t>Custom: Kidnapped &amp; Raped</t>
  </si>
  <si>
    <t xml:space="preserve">I'm a voice inside of your head, narrating a scene where you kidnap a girl and brutally rape her. </t>
  </si>
  <si>
    <t>kidnap/snatch, force, grope, oral mention, creampie, pervert encouragement</t>
  </si>
  <si>
    <t>Custom: Pervy Santa &amp; Elf Accomplice</t>
  </si>
  <si>
    <t xml:space="preserve"> I'm pervy Santa's head elf in charge and accomplice and we've got a special Santa experience behind closed doors. </t>
  </si>
  <si>
    <t>let's dirty up something pure like Santa, lap sitting, oral, special dildo toy, cowgirl, facial, accomplice</t>
  </si>
  <si>
    <t>Custom: Snuff Couple</t>
  </si>
  <si>
    <t xml:space="preserve">I'm your girlfriend and we kidnap a little cutie to torture, rape, and snuff together. </t>
  </si>
  <si>
    <t>sadistic, spit, cunt spanks, choking, face sitting, face slaps, pussy licking sounds, cunt wall scratching w/long nails, snuff</t>
  </si>
  <si>
    <t>Custom: Little Sluts All Girls Academy</t>
  </si>
  <si>
    <t xml:space="preserve"> I am head mistress Beatrix and I run a school for girls and moms to turn and brainwash them into being lifelong sluts while training their husbands/the fathers to be good cucks. </t>
  </si>
  <si>
    <t>BBC sluts, cuckold, 3 hole sluts, gangbangs, deepthroat, misogyny, breeding whores, light cuck humiliation, raceplay, DDlg</t>
  </si>
  <si>
    <t>Silent Call: Your Favorite Triggers</t>
  </si>
  <si>
    <t xml:space="preserve">How did you survive all those days without your favorite goddess pushing your favorite trigger words in your ears? </t>
  </si>
  <si>
    <t>trigger ramble, humiliation, pervert encouragement</t>
  </si>
  <si>
    <t>Script Fill: Secret Mommy Fuck</t>
  </si>
  <si>
    <t xml:space="preserve">My son is cuddling on the couch with me and I can't help but notice his erection and take advantage of it. </t>
  </si>
  <si>
    <t>MDlb, insatiable little boy, missionary, nipple sucking, inner dialogue, wet pussy sfx</t>
  </si>
  <si>
    <t>Custom: Rape Cabin Part 4</t>
  </si>
  <si>
    <t xml:space="preserve">Ian and his accomplice find themselves with one unconscious girl left. A whiskey fueled Ian decides to snuff her immediately and use all three holes. </t>
  </si>
  <si>
    <t>accomplice, encourage, skull fuck, creampie, anal creampie, multiple cum loads, snuff</t>
  </si>
  <si>
    <t>Silent Call: Xochitl Dirty Talk</t>
  </si>
  <si>
    <t xml:space="preserve">You're my boyfriend and we are watching Doctor Strange in the Multiverse of Madness. I'm bored so I do what I do best, distract you by turning you on and having you imagine what you would do if you were the bad guy and could dominate the actress Xochitl. </t>
  </si>
  <si>
    <t>pervy gfe, accomplice, drugged unconscious, skull fuck, bondage, choke until she passes out</t>
  </si>
  <si>
    <t>Custom: Family Road Trip</t>
  </si>
  <si>
    <t xml:space="preserve">I'm your wife and we're on a road trip with our daughter. I get a little frisky with you while you're driving and our daughter is napping on your lap. She wakes up and mommy teaches her how to please daddy. </t>
  </si>
  <si>
    <t>accomplice, road head, precum smears, oral, everyone cums, cum swapping, mom/daughter kiss, incest, DDlg</t>
  </si>
  <si>
    <t>Custom: A Daughter's Punishment</t>
  </si>
  <si>
    <t xml:space="preserve"> I play a mom and you're dad. We have a daughter that needs a punishment and we decide turning her into our little fuck toy until we're sexually satisfied will teach her a lesson!</t>
  </si>
  <si>
    <t>ddlg, mdlg, accomplice, incest, kissing, rimming, oral, blow job sounds, spanking, flat chest slapping, deepthroat, force, tit smothering, choking, rough anal, face sitting/fucking, anal creampie, mention of anal gape</t>
  </si>
  <si>
    <t>Custom: Daddy Daughter Love</t>
  </si>
  <si>
    <t xml:space="preserve">In this fantasy, you are a father to a young girl and you have a deep incestuous love for each other and cannot wait to biological breed your daughter and make more girls to enjoy. </t>
  </si>
  <si>
    <t>incest, ddlg, biological inbreeding, pedophile sympathy, vagina &amp; penis (not cock and pussy), mention of oral and cowgirl, creampie, sensual, consensual</t>
  </si>
  <si>
    <t>Silent Call: First Time Necro</t>
  </si>
  <si>
    <t>I'm your accomplice and you've snuffed before, but this time I encourage you to snuff and then necro fuck her throat.</t>
  </si>
  <si>
    <t>accomplice, bondage, no anal, choke, snuff, throat creampie</t>
  </si>
  <si>
    <t>Silent Call: Daddy's Brothel Visit</t>
  </si>
  <si>
    <t xml:space="preserve">You visit Madame Bea's brothel for the first time and you get a round of sluts to choose from before you bring one to the back room for one on one time. </t>
  </si>
  <si>
    <t>brothel, accomplice, lots of daddy name use, oral, missionary, creampie, deepthroat</t>
  </si>
  <si>
    <t>Custom: Rick Exposed, Blackmail Tease, &amp; Tasks</t>
  </si>
  <si>
    <t xml:space="preserve"> This is a custom created for my dear friend, Rick. He has consented to posting here because...well, he has a fetish for being exposed &amp; humiliated for the sick fuck he is. Promise...these things won't be played out in real life and this audio is purely fantasy and adult entertainment. I give him ways I would expose him for the pervert he is and then task ideas to deepen his submission to me, his goddess.</t>
  </si>
  <si>
    <t>femdom, I know your secrets, exposure fetish, tease &amp; denial, humiliation</t>
  </si>
  <si>
    <t>Custom: Grandpa is a Perv</t>
  </si>
  <si>
    <t xml:space="preserve">I find my father's disgusting folder of illegal incest content. I confront him about it because I'm disgusted he wants to sexualize me and our family, but the more I talk about it with him, the more turned on I get, especially when I learn it's my daughter he really wants. </t>
  </si>
  <si>
    <t>humiliation, pervert encouragement, voyeur, ddlg, grandma, family orgy, incest</t>
  </si>
  <si>
    <t>Custom: She Needed More</t>
  </si>
  <si>
    <t xml:space="preserve">I recount a first person story of how a woman dove into the depth of depravity from being just a simple kinky woman to addicted to worst kind of material. </t>
  </si>
  <si>
    <t>pervy gfe, obsession, female masturbation, female perv, needing more and more, deeper and deeper, pervert encouragement</t>
  </si>
  <si>
    <t>Three Word Challenge - Rape My Boy</t>
  </si>
  <si>
    <t>Three word challenge audio where I repeat the same phrase while masturbating and cumming.</t>
  </si>
  <si>
    <t>3 words, moaning, orgasm</t>
  </si>
  <si>
    <t>Three Word Challenge - You Raped Me</t>
  </si>
  <si>
    <t>Custom: Pervy TMZ</t>
  </si>
  <si>
    <t>In this fantasy audio, pretend you live in a world where there are laws and everything is legal and acceptable. You are tuning into my celebrity gossip TMZ web show.</t>
  </si>
  <si>
    <t>news, girl on girl, domme, inbreeding, age gape, BBC, incest, abortion mention, foot fetish, brothel, bimbo, pervert encouragement</t>
  </si>
  <si>
    <t>Custom: Family Intrusion</t>
  </si>
  <si>
    <t xml:space="preserve"> You are my boyfriend and we broke into a family's home and make them do unspeakable things to each other.</t>
  </si>
  <si>
    <t>fdom, accomplice, evil encourager, incest, coersion, blackmail, oral, penetration, facial, squirt facial</t>
  </si>
  <si>
    <t>Script Fill: Revisiting Christmas Traditions With Younger Sister (https://scriptbin.works/u/KevinNashWrites/f4m-revisiting-christmas-traditions-with-younger)</t>
  </si>
  <si>
    <t>You're my brother and we have a Christmas tradition of cuddling watching Home Alone and making your dick cum.</t>
  </si>
  <si>
    <t>no ap, bro/sis, handjob, wet dick stroking sfx, fingering, cum together, cum on my ass, kissing, incest</t>
  </si>
  <si>
    <t>Custom: Lolita Airlines</t>
  </si>
  <si>
    <t>You're a passenger on Lolita Airlines where all the crew members except the pilots are underage! I am your designated Lolita flight attendant and show you around your first flight with us.</t>
  </si>
  <si>
    <t>airplane ambience, sexy flight attendants, sexually agressive, lg femdoms, bdsm, bukkake, gloryhole, gangbang, fucked unconscious, cowgirl, creampie ending, accomplice, pervert encouragement</t>
  </si>
  <si>
    <t>Script FIll: I'm So Happy I Met a REAL Man (https://pastes.psstaudio.com/post/05388a2eace74dc7b39013ba5636429e)</t>
  </si>
  <si>
    <t>A nasty, sick woman meets a real man online and picks him up from the airport and has to pull over because she's so turned on by their talk of what she's going to have him to her kids. This script pretty much hits almost EVERY extreme taboo topic. Here's what a no limit audio sounds like!</t>
  </si>
  <si>
    <t>extreme dirty talk, bad mom, forced bi, drug addicted, moaning, masturbation, snuff, raceplay</t>
  </si>
  <si>
    <t>Silent Call: First Time</t>
  </si>
  <si>
    <t>I'm like a voice in your head during a time you have a little one alone and beside you, for the first time.</t>
  </si>
  <si>
    <t xml:space="preserve"> soft, sensual, consensual, kissing, pentrating, mind fuckery, creampie ending, pervert encouragement</t>
  </si>
  <si>
    <t>Script Fill: Mistress Playtime Part 1</t>
  </si>
  <si>
    <t>I play a little loli femdom, Mistress Beatrix, and I make you work for your pleasure.</t>
  </si>
  <si>
    <t>Fdom, Msub, face sitting, footjob, cum eating, tease &amp; denial, mutual masturbation, ap feet</t>
  </si>
  <si>
    <t>Custom: Younger Darker Loli Encouragement</t>
  </si>
  <si>
    <t xml:space="preserve">This pervert commissioned a younger and darker loli encouragement audio and I take him deeper into depravity.  </t>
  </si>
  <si>
    <t>Shota Camp Surprise</t>
  </si>
  <si>
    <t>Me and my husband run a camp and I cuck my husband while being a total milf slut for boys.</t>
  </si>
  <si>
    <t>shota, cuckold, forced bi, gangbang, group sex, MDlb</t>
  </si>
  <si>
    <t>Silent Call: Teen Seduction</t>
  </si>
  <si>
    <t>I am your neighbor that seduces you. Your wife catches us and I tease and humiliate her while you continue fucking me.</t>
  </si>
  <si>
    <t>seduction, oral, homewrecking, slut, blackmail, sexually aggressive, pervert encouragement</t>
  </si>
  <si>
    <t>Script Fill: Your Younger Sister Needs Your Cum for Her Eggnog Recipe</t>
  </si>
  <si>
    <t>Your younger sister is drunk off eggnog and tells you about this eggnog recipe that her friend told her about. It is supposed to be the best eggnog ever but she is missing a special ingredient that she can't get at the store. She needs your cum and begs you to help her out. You happily oblige.</t>
  </si>
  <si>
    <t>drunk talk, no ageplay, incest, intoxicated, masturbate, handjob, cum eating/drinking</t>
  </si>
  <si>
    <t>Script Fill: Mistress Playtime Pt 2</t>
  </si>
  <si>
    <t>Your mistress takes you behind the bushes in a park where there's a cutie tied and bound. She coaches you through exactly what to do with her.</t>
  </si>
  <si>
    <t>fdom, accomplice, rip clothes off, oral, gagged vocal sfx, penetration, fdom masturbates and moans, creampie, teasing, slave</t>
  </si>
  <si>
    <t>Silent Call: Perv Daddy Encouragement</t>
  </si>
  <si>
    <t xml:space="preserve"> Trigger filled, perv encouragement silent call that focuses on taking you deeper and making your cock feel good.</t>
  </si>
  <si>
    <t>ddlg, goddess, accomplice, enabler, go deeper, pervert encouragement</t>
  </si>
  <si>
    <t>Custom: Unseen Nightmare</t>
  </si>
  <si>
    <t>A girl deals with an unseen evil force in her home that is haunting and sexually torturing her.</t>
  </si>
  <si>
    <t>horror, supernatural, diary entries, feet fetish, oral, satanic, screaming, moaning, fear, anal, oral</t>
  </si>
  <si>
    <t xml:space="preserve"> Pervy Ramblings #3</t>
  </si>
  <si>
    <t>Just my own random perverted throughts.</t>
  </si>
  <si>
    <t>Custom: Stuff Animal Loving Little Girl</t>
  </si>
  <si>
    <t>You (the listener) are a grown man that's obsessed with stuffed animals. I humiliate and use you with my friends by sissifying you and emotionally maniupulating you.</t>
  </si>
  <si>
    <t>sissy, forced bi, stuffed animals, fdom, evil woman, verbal degradation, gang raped, oral, anal, aftercare</t>
  </si>
  <si>
    <t>Custom: Your Wife Accomplice</t>
  </si>
  <si>
    <t>I'm your wife and you've recently admitted to me what you are attracted to. I get wrapped up and fall down a depraved hole, insisting you come along with me. Your two nieces are in the plan.</t>
  </si>
  <si>
    <t>handjob in bed, online perv chat, very light cuckold, light raceplay (white, BBC, Indian), molest, finger, gangbang, uncle/nieces, beast, accomplice</t>
  </si>
  <si>
    <t>Script Fill: Mistress Playtime Part 3</t>
  </si>
  <si>
    <t>Loli Mistress Beatrix has a special treat for you. Her friends and dogs all cum together, including you.</t>
  </si>
  <si>
    <t>fdom, dom, msub, fsub, doggy fuck orgy, fingering, oral, orgy, creampie, breeding, dog sfx, moaning sfx, beast</t>
  </si>
  <si>
    <t>Custom: Daddy's 3 Day Old Gift</t>
  </si>
  <si>
    <t>Me and you are new parents, just got home from the hospital and we enjoy our little gift finally.</t>
  </si>
  <si>
    <t>extreme ap, accomplice wife, pervy wife experience, all three holes, sucking sfx, anal creampie, mommy sucks it out, incest, inbreed mention</t>
  </si>
  <si>
    <t>Custom: Mommy &amp; Daddy's Toy</t>
  </si>
  <si>
    <t>You and I are parents to a tiny one. I corrupt you into using him as our little toy and it gets dark.</t>
  </si>
  <si>
    <t>corruption, accomplice, shota, yaoi, oral, anal, rimming, choking, extreme ap</t>
  </si>
  <si>
    <t>Custom: Nutcracker Handjob</t>
  </si>
  <si>
    <t>I'm your wife and we're in private balcony seats for the Nutcracker. I give you a handjob while I whisper filthy fantasies to you.</t>
  </si>
  <si>
    <t>accomplice, pervy wife experience, handjob, ballerina, nutcracker music ambience, soft voice &amp; whispers, hold the moan, creampie mention, oral</t>
  </si>
  <si>
    <t>Silent Call: Succubus Capture</t>
  </si>
  <si>
    <t>You find yourself captured by a succubus that feeds on men's lust and desire for pervsions</t>
  </si>
  <si>
    <t>succubus, spell, kissing, lap grinding, cowgirl, creampie</t>
  </si>
  <si>
    <t>Custom: PMC Patient 216 Goes Lower</t>
  </si>
  <si>
    <t>Dr Beatrix needs one of her patients to go deeper. He's become complacent and performing at low levels. She decides to take his interests lower, intoxicate him, and make him goon while he is being brainwashed.</t>
  </si>
  <si>
    <t>medical setting, doctor/patient, LSD intoxication, gooning, cock pumping machine, hypno-ish, different endings, cum countdown, addiction encouragement, pervert encouragement</t>
  </si>
  <si>
    <t>Script Fill: Fucking Callie</t>
  </si>
  <si>
    <t>A girl's adult neighbor has sex with her for the first time. After they fuck, he falls into fantasy dream that is dark and twisted, as they nap together in bed.</t>
  </si>
  <si>
    <t>2nd person, pussy eating, bareback, creampie, fantasy within a fantasy, breeding, impregnation, violent, kniving, blood, gory, snuff</t>
  </si>
  <si>
    <t>Script Fill: Fucking Callie (Non Extreme Version)</t>
  </si>
  <si>
    <t>A young girl's adult neighbor has sex with her for the first time (I had to provide a non extreme one because the sex scene was so wonderfully written and wanted to share it with my non-extreme lovers)</t>
  </si>
  <si>
    <t>2nd person, pussy eating, bareback, creampie, breeding, pervert encouragement</t>
  </si>
  <si>
    <t>Custom: Mom &amp; Dad Can't Wait</t>
  </si>
  <si>
    <t>We just gave birth to newborn and just got home from the hospital. We can't wait to enjoy our new bundle while we're waiting on grandpa &amp; uncle to come join us. Fast forward to her first birthday and then her at 3 years old and you'll get to hear how our little toy serves us.</t>
  </si>
  <si>
    <t>pervy wife experience, pervy mom &amp; dad, DDlg, incest, grandpa &amp; uncle incest, anal, oral, licking sounds, bukkake, gangbang, bondange, reverse cowgirl, creampie, mommy squirt</t>
  </si>
  <si>
    <t>Silent Call: Sweet, Encouraging, Nasty Girlfriend</t>
  </si>
  <si>
    <t>(there's a disruption in the middle of the audio because we experienced a call drop) You're feeling down about your nasty fetishes until I come in and encourage you to lean into them and be nasty for me.</t>
  </si>
  <si>
    <t>pervy GFE, masturbation encouragement, filth encouragement, L bombs, get nastier for me, accomplice, throat fucking, choking, pervert encouragement</t>
  </si>
  <si>
    <t>Custom: Breastfeeding Mommy Masturbates</t>
  </si>
  <si>
    <t>A mom breastfeeds her son like she does daily, and also masturbates during like she always does, but this time, she gets super horny and gets even more naughty.</t>
  </si>
  <si>
    <t>suckling sfx, wet pussy sfx, moaning, breastfeeding, female masturbating, dildo fucking, blow job, blow job sfx, MDlb, exteme ap</t>
  </si>
  <si>
    <t>Custom: Honeymoon Brothel Part 1</t>
  </si>
  <si>
    <t>We just got married and are honeymooning in Vietnam so that we can fulfill our deepest, depraved fantasy for the first time.</t>
  </si>
  <si>
    <t>L bombs, pervy wife experience, brothel, asian slut, oral, female masturbation, no anal, doggy style, multiple orgasms, cock cleaning, creampie cleanup, accomplice, pervert encouragement</t>
  </si>
  <si>
    <t>Custom: Boy Feet Worship</t>
  </si>
  <si>
    <t>A sensual story about me encouraging the listener to jerk off and masturbate to little feet.</t>
  </si>
  <si>
    <t>soft &amp; sensual, encouragement, foot fetish, soles, toes, male masturbation, sensual teasing, cumming on feet, ap feet</t>
  </si>
  <si>
    <t>Custom: Daddy's Daughter Bride</t>
  </si>
  <si>
    <t>First I marry you and your young bride and then I talk through your honeymoon experience with your newly wedded bride and daughter.</t>
  </si>
  <si>
    <t>sensual, consensual, loving incest, ddlg, wedding/marriage, honeymoon love making, cowgirl, porn producing, creampies, vagina &amp; penis not cock &amp; pussy, incest</t>
  </si>
  <si>
    <t>Silent Call: Lesbo Perv</t>
  </si>
  <si>
    <t>I roleplay that you are my sexual partner and you know I love lesbian porn. Tonight you sent me young pictures and I realize I'm into it.</t>
  </si>
  <si>
    <t>lesbian, female masturbation, you watch I fuck, pussy eating, making out, scissoring, squirt, face sitting, fingering, pervert encouragement</t>
  </si>
  <si>
    <t>Silent Call: Accomplice Brings Drugs</t>
  </si>
  <si>
    <t>I'm your accomplice and bring your favorite kind of toy but this time I think you need to experience an unconscious little toy (our connection cut out a couple times, so you'll hear where I had to stop and repeat the last thing said)</t>
  </si>
  <si>
    <t>accomplice, intoxication, unconscious, oral, deep throat, creampie mention, no anal, encouragement</t>
  </si>
  <si>
    <t>Silent Call: Sensual &amp; Consensual</t>
  </si>
  <si>
    <t>I tell a fantasy story about giving into your most inner desires.</t>
  </si>
  <si>
    <t>sensual, consensual sex, no anal, accomplice &amp; corrupting voice in your head, creampie ending, pervert encouragement</t>
  </si>
  <si>
    <t>Custom: Your Abuser Confronts You</t>
  </si>
  <si>
    <t>The listener is an adult male that is a femme, cross dressing male that I used to babysit when he was younger and more innocent. I reveal to him the dark history and memories that he has blocked out and doesn't remember.</t>
  </si>
  <si>
    <t>shota, older woman/younger boy, corrupt, panty boy, pillow humping, creapie cleanup, face grinding, strap-on sex, anal, fingering, sissy, crying victim, rape the masculinity away, MDlb</t>
  </si>
  <si>
    <t>Silent Call: Little Girl Harem</t>
  </si>
  <si>
    <t>I helped you collect a captured harem and explain your favorite dolls and how they've all adjusted to a life of your use.</t>
  </si>
  <si>
    <t>accomplice, captured mind fucks, begging, small ddlg theme, oral, no anal, creampies, bratty girls</t>
  </si>
  <si>
    <t>Custom: A Husband's Debt</t>
  </si>
  <si>
    <t>You (the listener) are in extreme debt. To pay off your debts, your wife, mother, and sister have been sold to me, a brothel owner. You visit the brothel for the first time.</t>
  </si>
  <si>
    <t>no ap, incest, forced anal/bi, creampie cleanup, cheap whores, sexually slavery, glory hole, mother/son, raceplay, forced cuckoldry, humiliation</t>
  </si>
  <si>
    <t>Script Fill: A Quiet Evening</t>
  </si>
  <si>
    <t>Experience this family's quiet evening home where incest and depraved things happen</t>
  </si>
  <si>
    <t>female masturbation, anal, incest, female moaning, whispers, oral, ddlg, beast, sex messes</t>
  </si>
  <si>
    <t>Script Fill: The Sex Slave</t>
  </si>
  <si>
    <t xml:space="preserve">A woman recalls her time as a sex slave where she was used by groups of men at a time, finding one particular man she hoped would cum back again and again. </t>
  </si>
  <si>
    <t>gangbang, sexual slavery, dirty talk, no ap, foot fetish, anal, creampie, cum eating off feet</t>
  </si>
  <si>
    <t>Custom: My Dad Fantasies</t>
  </si>
  <si>
    <t xml:space="preserve">One of my special boys commissioned this audio idea. He wanted to hear the fantasies about my dad I've closed my eyes to and masturbated to. Straight from Miss Bea's imagination. </t>
  </si>
  <si>
    <t>incest, ddlg, panty sniffing, daddy's good girl, public sex, first masturbation experience, anal, ass to mouth</t>
  </si>
  <si>
    <t>Script Fill: Special Mom By The Pool</t>
  </si>
  <si>
    <t xml:space="preserve">Mom shows you how special she is one day while you're out at the pool. </t>
  </si>
  <si>
    <t>MDlb, futa, oral, oral sfx, anal, blow job, cum swallowing, anal creampie</t>
  </si>
  <si>
    <t>Custom: Dominating Black Daddy</t>
  </si>
  <si>
    <t xml:space="preserve"> I play a cutie that dominates you. </t>
  </si>
  <si>
    <t>raceplay, oral, femdom, cowgirl, anal, anal creampie</t>
  </si>
  <si>
    <t>Custom: Succubus Turns You</t>
  </si>
  <si>
    <t xml:space="preserve">I'm a special kind of succubus demon. One that feeds off extreme perversions. I find you (the listener) and think you'd make an excellent imp/sissy bitch to me, but first, I have to test you with an initiation. </t>
  </si>
  <si>
    <t>blasphemy, satanic, succubus &amp; imp relationship, sissy, encouraged bi, church, extreme ap, snuff, oral, anal, spit roasted, anal creampie, cum eating</t>
  </si>
  <si>
    <t>Silent Call: Pervert Humiliatrix Girlfriend</t>
  </si>
  <si>
    <t xml:space="preserve">I tell you, my boyfriend, about the big neighborhood news that have made headlines. To my surprise, you get a boner and I humiliate the fuck out of you. </t>
  </si>
  <si>
    <t>femdom vibes, humiliation, jerk off encouragement while humiliating</t>
  </si>
  <si>
    <t>Silent Call: Babysitting Girlfriend Shows Off For You</t>
  </si>
  <si>
    <t xml:space="preserve">You're my boyfriend and you keep me company tonight while I babysit, but I have something to show you. I've been a naughty girl. </t>
  </si>
  <si>
    <t>girl on girl, you watch, kissing, oral, female masturbation, scissoring, squirt, female moaning, extreme ap</t>
  </si>
  <si>
    <t>Custom: Mom Fucks Bully Daniel</t>
  </si>
  <si>
    <t>My son's bully comes over and I worship and fuck him to teach my son a lesson.</t>
  </si>
  <si>
    <t>overdeveloped, cuckold, degradation, monster cock worship, handjob, oral, blowjob sfx, cowgirl, breeding, creampie, MDlb</t>
  </si>
  <si>
    <t>Custom: Daddy's Breeding Whore</t>
  </si>
  <si>
    <t xml:space="preserve">A mother finds some interesting clues to let her know dad and her daughter are both into the DDlg fetish. She brings the two of them together, turning her into daddy's breeding whore. </t>
  </si>
  <si>
    <t>DDlg, hole training, breeding kink, incest, oral, missionary, creampie</t>
  </si>
  <si>
    <t>Silent Call: Camp Counselor Gangbang</t>
  </si>
  <si>
    <t xml:space="preserve">A woman recounts a time when a gang of her little campers tied her down and used her. </t>
  </si>
  <si>
    <t>noncon, gangbang, big tits, pubic hair, creampie, blow job, body betrayal, anal, ass to mouth, MDlb</t>
  </si>
  <si>
    <t>Custom: Honeymoon Brothel Part 2</t>
  </si>
  <si>
    <t xml:space="preserve">A couple just got married and are honeymooning in Vietnam where certain brothels are legal. They show up for their second visit. </t>
  </si>
  <si>
    <t>female moans, corrupted, sadism, accomplice, femdom, oral, oral sfx, doggy style, missionary, face sitting, multiple orgasms, anal, anal creampie, creampie cleanup, pervert encouragement, accomplice</t>
  </si>
  <si>
    <t>Custom: Forced Cam Show</t>
  </si>
  <si>
    <t xml:space="preserve">You're my partner and I am your accomplice. I gift you with a live forced incest show that I direct while stroking you. </t>
  </si>
  <si>
    <t>accomplice, web cam show, DDlg, oral, incest, creampies, force, noncon</t>
  </si>
  <si>
    <t>Silent Call: Humiliatrix Girlfriend Birthday Gift</t>
  </si>
  <si>
    <t xml:space="preserve">For your birthday, I make you jerk off in front of me while I humiliate you for being so perverted. </t>
  </si>
  <si>
    <t>femdom, pervy gfe, male masturbation, humiliation, cum ending</t>
  </si>
  <si>
    <t>Custom: Puppy Love</t>
  </si>
  <si>
    <t>I roleplay as your wife and encourage you to take part in some sick and twisted beast fucking.</t>
  </si>
  <si>
    <t>pervy gfe, beast, doggy style, two orgasms, poppers, throat fucking, snuff</t>
  </si>
  <si>
    <t>Custom: Caring Companion Rehab Program</t>
  </si>
  <si>
    <t xml:space="preserve">I am the head sex therapist at a rehabiliation program for serial offenders. I equip men with a fuck toy companion, teaching them strategies for controling their brutal urges. I introduce a new patient into the program. </t>
  </si>
  <si>
    <t>doctor/patient, noncon, free use slut, red head, deep throat, extreme use, unconscious, snuff, pervert encouragement</t>
  </si>
  <si>
    <t>Little Panty &amp; Undie Cafe</t>
  </si>
  <si>
    <t xml:space="preserve">You are visiting the Tiny Panty &amp; Undie Cafe for the first time. I walk you around and show you the services we have to offer. </t>
  </si>
  <si>
    <t>panties, undies, brothel, panty/undie sniffing, male masturbation, Czech glory hole, oral, rimming, fingering, glory hole, anal, bisexual, pervert encouragement</t>
  </si>
  <si>
    <t>Silent Call: Deep Throat Dolls</t>
  </si>
  <si>
    <t xml:space="preserve">I provide you with two dolls to deepthroat at my brothel, insisting you lose control on them. </t>
  </si>
  <si>
    <t>brothel, deep throat, unconscious, belly creampie, pervert encouragement</t>
  </si>
  <si>
    <t>Girlfriend Makes You Pervier</t>
  </si>
  <si>
    <t xml:space="preserve">You invite me to help you babysit your niece. I secretly give you handjobs, teasing you with the possibilities. </t>
  </si>
  <si>
    <t>secret handjob, lap sitting, uncle/niece, pervy gfe, tease, whispers, incest, accomplice, pervert encouragement</t>
  </si>
  <si>
    <t>Silent Call Perv Encouraging Girlfriend Experience</t>
  </si>
  <si>
    <t xml:space="preserve">Let me role-play as your girlfriend who encourages you to be the pervert you are, coming up with ideas to satisfy your desires. </t>
  </si>
  <si>
    <t>pervy gfe, throat use, porn, noncon, pervert encouragement, accomplice</t>
  </si>
  <si>
    <t>Custom: Mommy's Gooner Girl</t>
  </si>
  <si>
    <t xml:space="preserve">Sissy hypno, without the use of the word sissy. I encourage the listener to put on their feminine slut uniform, sniff popper, and turn into mommy’s gooner girl, gooning to naughty thoughts and images. </t>
  </si>
  <si>
    <t>hypno, feminization, poppers, binaural, good girl, goon encouragement, anal toy play, bimbofication, get dumb and empty</t>
  </si>
  <si>
    <t>Custom: Perv Goddess Hypno Lg &amp; Lb</t>
  </si>
  <si>
    <t xml:space="preserve">Hypo file encouraging the listening to deepen his fantasies and include one more gender. </t>
  </si>
  <si>
    <t>hypno, binaural, it's all in your mind, enouragement, sodomy, oral</t>
  </si>
  <si>
    <t>Custom: Daddy Takes Charge</t>
  </si>
  <si>
    <t xml:space="preserve">A father turns his daughters into his, used everyday for his pleasures. </t>
  </si>
  <si>
    <t>DDlg, incest, breeding, restrained, noncon, creampie, anal, anal creampie</t>
  </si>
  <si>
    <t>Silent Call: Caring Companion Visit</t>
  </si>
  <si>
    <t xml:space="preserve">The listener visits the Caring Companion rehab program where I am sex therapist. I berate my client at first for his brutal victims in the past, but then introduce him to his assigned fuck toy, encouraging him to show me his true colors. </t>
  </si>
  <si>
    <t>humiliation, throat use, noncon, choking, snuff, necro</t>
  </si>
  <si>
    <t>Public Posted: Perverted Valentine's Day Homewrecking</t>
  </si>
  <si>
    <t>A teasing Valentine's Day themed audio where I play around with homewrecking and your own perversions.</t>
  </si>
  <si>
    <t>homewrecking, confess your fantasies, exposed, perverts only, pervert encouragement</t>
  </si>
  <si>
    <t>Custom: Valentine's Day Gift</t>
  </si>
  <si>
    <t>I am your girlfriend and we come back to a hotel room after Valentine’s Day dinner out where I blindfold and introduce another guest into our room, one that satisfies your biggest perverted fantasy.</t>
  </si>
  <si>
    <t>pervy girlfriend experience, threesome, kissing, oral, rimming, cowgirl, doggy style, creampe, creampie cleanup, squirting on her face, accomplice, pervert encouragement</t>
  </si>
  <si>
    <t>Custom: Succubus Imp Part 2</t>
  </si>
  <si>
    <t xml:space="preserve">My sissy imp has been a very good imp, but my brother, Satan, thinks we can do more by having my imp corrupt heterosexual men into loving gay sex and taking their sons as well. </t>
  </si>
  <si>
    <t>succubus, imp, shota, forced bi/gay, oral, anal, noncon, anal creampie, Satan/demonic, blasphemy</t>
  </si>
  <si>
    <t>Custom: Perverted Girlfriend Reveals Herself</t>
  </si>
  <si>
    <t>I play your girlfriend and notice how much it turns you on to AP role-play with me, but I want to prove to you how perverted I am as well, setting up a twisted fantasy.</t>
  </si>
  <si>
    <t xml:space="preserve">shota only, twins, forced bi, forced intoxication, anal, oral, forced felch, ass to mouth, forced incest, forced porn, perverted girlfriend experience </t>
  </si>
  <si>
    <t>Custom: First Date w/Miss Bea</t>
  </si>
  <si>
    <t xml:space="preserve">This commission is me explaining what it would be like to go on a first date with Miss Bea, in the most realistic, fucked up ways. </t>
  </si>
  <si>
    <t>slut life, oral, facial, doggy style, social media browsing, handjob, cum eating, playground, porn browsing, accomplice, strip club, sex doll, roleplay, accomplice</t>
  </si>
  <si>
    <t>Custom: Elanor &amp; Mommy's Cock Mind Fuck</t>
  </si>
  <si>
    <t xml:space="preserve">Elanore recounts her past when her shemale babysitter stole her innocence and how it’s fucked her up to this day. </t>
  </si>
  <si>
    <t>trans woman/lg, babysitter, training, breeding, ladycock, mommy’s cock milk, anal, oral, creampie, watersports, light bondage, mind fuck, Stockholm syndrome</t>
  </si>
  <si>
    <t>Custom: Girlfriend Perv Humilation w/a Twist</t>
  </si>
  <si>
    <t xml:space="preserve">I’m girlfriend your and find you jerking off to pics of cuties for the first time and I berate and humiliate you. Until you decide that my filthy mouth needs to be stuffed and my own cunt tamed and hatefucked. </t>
  </si>
  <si>
    <t>perverted gfe, humiliation, deepthroat, oral sfx, noncon gf hatefuck, moans</t>
  </si>
  <si>
    <t>Custom: Adult Woman In A Tiny Body</t>
  </si>
  <si>
    <t xml:space="preserve">I’m a grown woman, but have a physical defect that’s caused my body to not fully develop. I give my story of what it’s been like to date men and then have sex with listener. </t>
  </si>
  <si>
    <t>noncon, porn, online pervs, oral sfx, deep throat, crying, creampie, pervert encouragement</t>
  </si>
  <si>
    <t>Silent Call: Perv Gooner Therapy</t>
  </si>
  <si>
    <t xml:space="preserve">I am sex therapist that wants you to accept and stroke to your true perverted self and ultimate desires. </t>
  </si>
  <si>
    <t>goon encouragement, noncon, mind break, addiction, pervert encouragement</t>
  </si>
  <si>
    <t>Custom: Perverted Cuckquean Foursome</t>
  </si>
  <si>
    <t xml:space="preserve">I am the third in a cuckquean setting, the listener being the boyfriend. In the middle of us playing, I bring in my daughter to the scenario and make it a foursome. </t>
  </si>
  <si>
    <t>cuckquean, kissing sfx, oral sfx, female masturbation, female moans, group sex, facial ending, accomplice</t>
  </si>
  <si>
    <t>Custom: Mommy's Son Turns Into Her Daughter</t>
  </si>
  <si>
    <t xml:space="preserve">I am so desperate for a daughter that I manipulate and force my son to become a girl and have my boyfriend help train my new girl. </t>
  </si>
  <si>
    <t>implied age, MDlg, MDlb, forced bi, feminization, oral, blowjob sfx, anal, cum on tits, kissing sfx, spanking, training, rimming, doggy style, creampie cleanup</t>
  </si>
  <si>
    <t>Silent Call: Forbidden Sensual Desire</t>
  </si>
  <si>
    <t>I'’m that devil on your shoulder having you imagine what it would be like to give into your one, true forbidden desire</t>
  </si>
  <si>
    <t>no anal, no oral, little nipple worship, missionary, slow burn, sensual, it’s our secret, pervert encouragement</t>
  </si>
  <si>
    <t>Custom: Daughter's Punishment Room</t>
  </si>
  <si>
    <t xml:space="preserve">Me and the listener are parents and decide to try out our new punishment room with our daughter. </t>
  </si>
  <si>
    <t>bondage, MDlg, DDlg, choking, oral, oral sfx, spanking, spanking sfx, fingering, crying sfx, moaning sfx, anal, double stuffed, Hitachi wand, collar, anal creampie, squirting, incest</t>
  </si>
  <si>
    <t>Silent Call: She's Sleeping</t>
  </si>
  <si>
    <t xml:space="preserve">She’s sleeping and I’m that evil accomplice voice in your head. </t>
  </si>
  <si>
    <t>accomplice, sleeping girl, missionary, no oral, no anal, creampie ending, pervert encouragement</t>
  </si>
  <si>
    <t>Custom Mom Snuff Accomplice</t>
  </si>
  <si>
    <t>A mother finds an intruder in her house in the midst of extreme use of her daughters and can’t help but get turned on and help…and then beg for her own snuff ending.</t>
  </si>
  <si>
    <t>accomplice, bad mom, female masturbation, choking, snuff heavy, noncon, begging, female moans, bone breaking sfx, choking sfx, snuff</t>
  </si>
  <si>
    <t>Silent Call- GF Visits Center for Sexual Deviants</t>
  </si>
  <si>
    <t xml:space="preserve">Dr. Beatrix sits down with the listeners girlfriend explaining why you have spent time in her Center for Sexual Deviants and how to rehabilitate you into society. </t>
  </si>
  <si>
    <t>third person listener experience, sexual deviant, addiction, goon encouragement, snuff, noncon, no anal, extreme throat use, pervert encouragement</t>
  </si>
  <si>
    <t>Fuck Doll Training</t>
  </si>
  <si>
    <t>How to train your fuck toy to be a good whore who will do anything for you and your cock</t>
  </si>
  <si>
    <t>misogyny, no ap, moaning loop, extreme use, submissive slut, slut training</t>
  </si>
  <si>
    <t>Silent Call: Encouraging Perv GF</t>
  </si>
  <si>
    <t>I play as your girlfriend and dig into what your true desires are, encouraging you to be as sick and twisted as you want to be</t>
  </si>
  <si>
    <t>accomplice, pervy gfe, noncon, perv encouragement, choking, pervert encouragement</t>
  </si>
  <si>
    <t xml:space="preserve">Silent Call: Size Difference </t>
  </si>
  <si>
    <t>I narrate an experience you have for the first time that involves major size difference</t>
  </si>
  <si>
    <t>noncon, no oral, no anal, creampie, breeding mention, pervert encouragement</t>
  </si>
  <si>
    <t>Custom: A Cumsluts Trauma Story</t>
  </si>
  <si>
    <t xml:space="preserve"> One hour &amp; 30 min audio. A woman recounts whenever her mom got a new boyfriend and the relationship that formed between her and him, moving from flirty and semi-innocent to a very dark ending. </t>
  </si>
  <si>
    <t>noncon, step father/mom’s boyfriend, slow burn, teasing, secrets, multiple cum shots, narrative, first time female masturbation, corruption, oral, virgin, anal, creampie, teasing, DDlg</t>
  </si>
  <si>
    <t>Silent Call: Accomplice 5</t>
  </si>
  <si>
    <t xml:space="preserve">I help source a cutie for you to enjoy and instruct you on what to do. </t>
  </si>
  <si>
    <t>accomplice, oral, all three holes, watersports, anal creampie</t>
  </si>
  <si>
    <t>Silent Call: Aryan Princess</t>
  </si>
  <si>
    <t>Accomplice style. Listener is teased with his biggest weakness. Heavy raceplay.</t>
  </si>
  <si>
    <t>accomplice, raceplay, oral, all three holes, noncon</t>
  </si>
  <si>
    <t>Mom Makes Daughter Famous</t>
  </si>
  <si>
    <t>I role-play as a mom that gets wrapped up in making her daughter more famous and popular online, ending with her and her husband getting off to what’s happening.</t>
  </si>
  <si>
    <t>accomplice, obsessed mom, dancer, corruption, wife handjob, dirty talk, internal dialogue</t>
  </si>
  <si>
    <t xml:space="preserve">Script Fill: Loralei's Proposition To Her Voyeur  </t>
  </si>
  <si>
    <t xml:space="preserve">A girl lets her teacher know she knows he's been spying on her and makes a proposition. </t>
  </si>
  <si>
    <t>teacher/student, voyuer, spying, breeding, watersports, pervert encouragement</t>
  </si>
  <si>
    <t>Silent Call: Your GF The RVictim</t>
  </si>
  <si>
    <t xml:space="preserve">Your girlfriend has a dark past that left her feeling like a piece a trash her whole life until she met you because of your dark interests. </t>
  </si>
  <si>
    <t>noncon, pervy gfe, mouth use, kidnapped, creampie, pervert encouragement</t>
  </si>
  <si>
    <t>Custom: Your Daughter's Toes &amp; Soles</t>
  </si>
  <si>
    <t xml:space="preserve">Your bratty daughter teases you with her pedicured toes, ending up with a very pervy foot job. </t>
  </si>
  <si>
    <t>foot fetish, soles, toes, bratty, teasing, cum countdown, cum on feet, daughter cleans it up, DDlg, ap feet</t>
  </si>
  <si>
    <t>Script Fill: Erika Consides in Mr. Toast</t>
  </si>
  <si>
    <t xml:space="preserve">Erika confides in her stuffed animal about the perv neighbor that’s been inviting her over and teaching her about sex. </t>
  </si>
  <si>
    <t>confession, innocence, narrative, no anal, perverted sex education, pervert encouragement</t>
  </si>
  <si>
    <t>Script FIll: Black Master's Loli Doll</t>
  </si>
  <si>
    <t xml:space="preserve">My take at a loli voice. A girl serves her black master with her mouth. </t>
  </si>
  <si>
    <t>teasing, oral sfx, raceplay, n slur, cum on tits</t>
  </si>
  <si>
    <t>Custom: The Bar Slut's Nightmare</t>
  </si>
  <si>
    <t xml:space="preserve">A woman gets drugged while at the bar by a man that takes her home, only for him to discover her daughter is home as well. </t>
  </si>
  <si>
    <t>forced intoxication, noncon, oral, force, dark &amp; twisted, first person to narrative</t>
  </si>
  <si>
    <t>Script FIll: Sex With Mommy</t>
  </si>
  <si>
    <t>Your mom discovers your erection after giving a bath and decides to show you how to pleasure it.</t>
  </si>
  <si>
    <t>MDlb, oral, sucking sfx, wet sex sfx, missionary &amp; doggy style</t>
  </si>
  <si>
    <t>Retro Extreme Perv JOI Aerobics Tape</t>
  </si>
  <si>
    <t xml:space="preserve">Point of view: you found a vhs tape from the 80s at the bottom of a pile at your local goodwill and it turns out, it’s an extreme Jerker-cise cock exercise JOI style for extreme perverts. </t>
  </si>
  <si>
    <t>vintage sfx, misogyny, male masturbation, noncon, female degradation, JOI, 80s style perverted aerobics style, deep throat, anal, creampies, cum countdown, aftercare, pervert encouragement</t>
  </si>
  <si>
    <t>Dolls Porn Production Interview</t>
  </si>
  <si>
    <t xml:space="preserve">You’re interviewing for the male talent position with me. We review your history and capabilities to fill the role and then tour the facility with me. </t>
  </si>
  <si>
    <t>alternate reality, extreme, DDlg, fluffer, drug mention, noncon, fingering, porn setting, watersports, bondage, beast, bukkake, helicopter moms, pervert encouragement</t>
  </si>
  <si>
    <t>Commercials of Perversions</t>
  </si>
  <si>
    <t xml:space="preserve"> Maisie Moon is back with more commercials of extreme perversions. </t>
  </si>
  <si>
    <t>sex toys, deep throat, intoxication, DDlg, incest, bdsm, plastic surgery, chastity, beast, snuff, necro, misogyny</t>
  </si>
  <si>
    <t>Custom: Wank For Mommy</t>
  </si>
  <si>
    <t xml:space="preserve">Wanking encouragement audio where I encourage a mommy’s boy that it’s okay to fantasize and jerk off to his mom. </t>
  </si>
  <si>
    <t>MDlb, masturbation encouragement, CEI, heavy mom tits, hairy pussy, rimming, cunninlingus, incest</t>
  </si>
  <si>
    <t>Custom: Accomplice GF Gives You a Harem</t>
  </si>
  <si>
    <t xml:space="preserve">Your girlfriend takes advantage of a situation that ends up gifting you an enslaved group of fuck toys to keep in the basement. </t>
  </si>
  <si>
    <t>accomplice, sex slaves, twins, oral, noncon, two creampies, anal &amp; pussy, dirty talk</t>
  </si>
  <si>
    <t>Pervy Ramblings: Happy Meals &amp; Obsessions</t>
  </si>
  <si>
    <t xml:space="preserve">Coming back weekly. The pervy ramblings from Miss Bea’s head. </t>
  </si>
  <si>
    <t>female masturbation, DDlg, uncle/niece, foot fetish, beast, happy meals, misogyny, rambling</t>
  </si>
  <si>
    <t>Silent Call: Daddy's Pool Party Gangbang</t>
  </si>
  <si>
    <t xml:space="preserve">Daddy shows off his girl’s skills to his friends. </t>
  </si>
  <si>
    <t>gangbang, DDlg, double penetration, oral, facials, creampies</t>
  </si>
  <si>
    <t>Custom: A Doctor's Nurse Accomplice</t>
  </si>
  <si>
    <t>A Nurse helps a doctor perform a perverse scene, taking advantage of a delicate situation.</t>
  </si>
  <si>
    <t>accomplice, single mother, noncon, forced to watch, sadist, oral, nipple clamps, stirrups &amp; speculum, cervix torture, mouth gag, creampie</t>
  </si>
  <si>
    <t>Custom: Confession of a Female Pervert</t>
  </si>
  <si>
    <t xml:space="preserve">A PSO confesses how deep down the rabbit hole she fell, fully corrupted and obsessed with her perversion. </t>
  </si>
  <si>
    <t>sapphic desires, lesbian perv, corruption, female masturbation, watersports, panty sniffing, pervert encouragement</t>
  </si>
  <si>
    <t>Custom: Babsitter Becomes Your Futa Mommy</t>
  </si>
  <si>
    <t xml:space="preserve">You get a babysitter that is very sexually aggressive and demands you call her Mommy. </t>
  </si>
  <si>
    <t>futa, MDlb, handjob, oral sfx, spitting, face slapping, penis slapping, blow jobs, noncon, anal, cum on tits</t>
  </si>
  <si>
    <t>Mommy Does Incest</t>
  </si>
  <si>
    <t xml:space="preserve">A mother confesses for the first time how she’s turned her son into her incest lover. </t>
  </si>
  <si>
    <t>MDlb, incest, handjob, breastfeeding, fingering, fisting, oral, cum eating, incest sex</t>
  </si>
  <si>
    <t>Custom: Evil Homewrecking Encouragement</t>
  </si>
  <si>
    <t>I am a voice that encourages you to keep sneaking around your wife’s back to feed into your porn addiction, but then challenge you to have us turn this into reality.</t>
  </si>
  <si>
    <t>Extreme homewrecking, married man, wife degradation, cuckquean, porn addiction, gooning, Watersport mention, female moaning, affirmations, snuff mention</t>
  </si>
  <si>
    <t>Silent Call: Brother Blackmails Sister</t>
  </si>
  <si>
    <t xml:space="preserve">My brother blackmails me into fucking him and I hate every second of it. </t>
  </si>
  <si>
    <t>blackmailed sis, bro/sis, incest, forced incest, dubious consent, inbreeding, fertile, blow job sounds, cowgirl, missionary, creampie</t>
  </si>
  <si>
    <t>Custom: Mommy's Wanking Lesson</t>
  </si>
  <si>
    <t xml:space="preserve"> I’ve caught my son watching me have sex with his father and decide it’s time to teach him about wanking and reveal some other things. </t>
  </si>
  <si>
    <t>MDlb, masturbation encouragement, loving mommy, L bombs, CEI, tit sucking, handjob, bukkake fantasy, cum on tits</t>
  </si>
  <si>
    <t>Miss Bea Gets Analyzed</t>
  </si>
  <si>
    <t xml:space="preserve">I’m participating in a doctor’s evaluation which lead me to confess to my past with my daddy. </t>
  </si>
  <si>
    <t>DDlg, confession, oral, hole training, anal, daddy’s secret slut, dirty talking, daddy’s girl, secret sex, masturbation</t>
  </si>
  <si>
    <t>Custom: Bad Mommy Accomplice</t>
  </si>
  <si>
    <t xml:space="preserve">I role-play as a bad mom, desperate for rent money and offer the listener a deal if he helps me out. </t>
  </si>
  <si>
    <t>bad mom, accomplice, racial slur, raceplay, creampie</t>
  </si>
  <si>
    <t>Perv Family Voicemails &amp; Captions</t>
  </si>
  <si>
    <t xml:space="preserve">I am your wife and we have 4 kids together that I homeschool while you're at work. You get to experience a day in the life where I send text messages and voicemails. </t>
  </si>
  <si>
    <t>captions, fake text messages, pervy wife experience, incest, bro/sis, mom/daughter, ddlg, dad/son, very light bi mention, breastfeeding, misogyny, anal, bondage, playground sfx, moaning/gagged sfx, incest</t>
  </si>
  <si>
    <t>Silent Call: Beast Encouragement</t>
  </si>
  <si>
    <t xml:space="preserve">I play as your kinky girlfriend that encourages you to fuck our pet. </t>
  </si>
  <si>
    <t>beast, noncon, breeding fail, perverted gfe, creampie</t>
  </si>
  <si>
    <t>Custom: PMC Patient #321</t>
  </si>
  <si>
    <t xml:space="preserve">Dr Beatrix introduces another patient into the PMC that is addicted to social media cuties. </t>
  </si>
  <si>
    <t>doctor/patient, hypno, instagram, gooning encouragement, male masturbation, porn encouragement, pervert encouragement</t>
  </si>
  <si>
    <t>Silent Call: PSO Humiliates Pervert</t>
  </si>
  <si>
    <t xml:space="preserve">I play a PSO that’s really shocked at what you’re requesting and humiliates you hard and deep. </t>
  </si>
  <si>
    <t>humiliation, noncon, phone sex operator</t>
  </si>
  <si>
    <t>Your Mom's Friend Tucks You In</t>
  </si>
  <si>
    <t xml:space="preserve">Your mom is already passed out in bed after a night with her friend, me. I come in and tuck you into bed and you teach me the naughty games you and mommy play at bed time. </t>
  </si>
  <si>
    <t>older woman/lb, tit sucking, blow job, bj sfx, wet sex sfx, creampie, breeding, good boy, MDlb</t>
  </si>
  <si>
    <t>Miss Bea's Group Dick Rating</t>
  </si>
  <si>
    <t xml:space="preserve">This is older content that I forgot to put into the vault. I asked my VIP members to send in their cocks if they wanted to be apart of this perverted, extreme dick rating. </t>
  </si>
  <si>
    <t>dick rating, lots of dirty talk</t>
  </si>
  <si>
    <t>Silent Call: Accomplice Knows What You Want</t>
  </si>
  <si>
    <t>You’ve got perverted, depraved desires that only I know about. I know what you need and crave to hear.</t>
  </si>
  <si>
    <t>accomplice, perv encouragement, no oral, no anal, creampie, pervert encouragement</t>
  </si>
  <si>
    <t>Silent Call: Silent Call: Twisted Caring Accomplice GF</t>
  </si>
  <si>
    <t xml:space="preserve">You revealed your secret fetish to me already so I decide to be a good girlfriend and gift you a cutie. </t>
  </si>
  <si>
    <t>pervy gfe, accomplice, forced intoxication, unconscious, but wakes up, snuff, necr0</t>
  </si>
  <si>
    <t>Custom: DDlg Blackmail</t>
  </si>
  <si>
    <t xml:space="preserve">I’m your loving girlfriend that’s encourage your ddlg fantasies and we’ve had a lot of kinky fun. I reveal to you that all those kinky dares I gave you to prove you’re a secret perv dad are now ammunition for me to force you into doing something super fucked up mostly for my pleasure. </t>
  </si>
  <si>
    <t>DDlg, pervy gfe, dirty talk, panty sniffing, cum tributes, blackmail threats, accomplice, noncon, devious corruption, intoxication, breeding, incest</t>
  </si>
  <si>
    <t>Custom: New Daddy Promises</t>
  </si>
  <si>
    <t xml:space="preserve">I’m your loving girlfriend that’s so excited to marry you. I tell you my plans to ensure you have a total of three cock dolls in our home, becoming my girls’ new daddy. </t>
  </si>
  <si>
    <t>DDlg, pervy gfe, training, accomplice, bad (good) mommy, encouraging, oral, cum in mouth, handjob, cum in hair, twins</t>
  </si>
  <si>
    <t>Script Fill: Amy &amp; The Stash of Ero Lit</t>
  </si>
  <si>
    <t xml:space="preserve">Amy is stepdaughter and you are our neighbor who loaned us your laptop. I caught Amy rubbing to your naughty AP erotica stories and decided that I bring the two of you together when returning your laptop. </t>
  </si>
  <si>
    <t>accomplice, female masturbation, erotica, oral, bad stepmom, breeding, creampie</t>
  </si>
  <si>
    <t>Custom: Mommy's Son Turns Into Her Daughter Part 2</t>
  </si>
  <si>
    <t xml:space="preserve">I role-play as the desperate mom that turned her son into her daughter. My boyfriend returns after some time away and gets to see how well training has gone with my new daughter. </t>
  </si>
  <si>
    <t>implied ap, MDlg, MDlb, chemical castrated, encouraged bi, forced feminization, oral, rimming, anal, kissing sfx, strap on, pegging, ass to mouth, training, multiple orgasms</t>
  </si>
  <si>
    <t>Custom: Do It Counseling Program</t>
  </si>
  <si>
    <t>Imagine living in a world where there’s no laws and everything is legal. Now imagine you sign up for an online counseling program to help you and your spouse create a world of extreme perversion, right in your own home.</t>
  </si>
  <si>
    <t>therapist, incest, encouragement, noncon, lingerie, sex toys, cum sluts, watersports, choking, anal, ass to mouth, porn encouragement, background music, pervert encouragement</t>
  </si>
  <si>
    <t>Custom: Bad Mom Helps</t>
  </si>
  <si>
    <t xml:space="preserve">You’re my boyfriend and we’ve been roleplaying for a while. I’m ready to turn this into reality. </t>
  </si>
  <si>
    <t>accomplice, bondage, blindfold, all three holes, anal creampie</t>
  </si>
  <si>
    <t>Silent Call: Dream Accomplice</t>
  </si>
  <si>
    <t xml:space="preserve">I’m a psychologist that studies dreams and the mind and also your sister. You’ve been having fever dreams and can’t figure what’s happening. I have a device that lets me look into the mind and see what people are dreaming about so I come over and hook you up to it. What I see is shocking, yet to my surprise, I get into it.  </t>
  </si>
  <si>
    <t>bro/sis, uncle/niece, lingerie, strip tease, accomplice, oral, breeding mention, incest, cum countdown</t>
  </si>
  <si>
    <t>Silent Call: Pool Slut</t>
  </si>
  <si>
    <t>Voice in your head, encouraging you to go into the changing room and enjoy the girl you’ve been watching all day at the pool</t>
  </si>
  <si>
    <t>bathing suit, noncon, perv encouragement, creampie, pervert encouragement</t>
  </si>
  <si>
    <t>Custom: Evil Mistress Enslaves A Pervert</t>
  </si>
  <si>
    <t xml:space="preserve">You’ve been my submissive/slave for a while, roleplaying with me with your sickest desires. I’ve got you by the balls and use a little bit of brainwashing hypnosis, intoxication, and blackmail threats to get you to cross the ultimate line for me. </t>
  </si>
  <si>
    <t>femdom, corruption, noncon, hypno, into, blackmail, extreme, accomplice</t>
  </si>
  <si>
    <t>Custom: Snatch &amp; Cum</t>
  </si>
  <si>
    <t>A story told from two perspectives. Third person narration of a role-play where the listener forces touching and worshiping. Then the same story told from the girl’s perspective</t>
  </si>
  <si>
    <t>noncon, no penetration, forced body groping, ripping off clothes &amp; panties, toe sucking, kissing, oral, handjob, two cum shots</t>
  </si>
  <si>
    <t>Custom: Daddy Helps Punish Daughter’s Bullies</t>
  </si>
  <si>
    <t>A group of girls have been bullying me, so I trick them into coming over for a sleepover, only to have me and daddy teach them a lesson!</t>
  </si>
  <si>
    <t>noncon, DDlg, bully punishment, mouth fucking, empty stomach for cock, sadistic, daddy’s girl, anal, ass to mouth, tit slapping, daughter accomplice, facial, face sitting, spitting, rimming</t>
  </si>
  <si>
    <t>Gaslighting Mommy</t>
  </si>
  <si>
    <t xml:space="preserve">We’ve spent years apart, but you move back in with me. One night, I climb into bed with you to talk about how excited I am you’re in my life again. I end up gaslighting and manipulating you to get what I ultimately want.  </t>
  </si>
  <si>
    <t>MDlb, mommy kink, handjob, noncon, foot fetish, encouraged &amp; forced bi, loving &amp; encouraging mom, bad mom, gaslighting, tease &amp; denial, edging, cum countdown, L bombs</t>
  </si>
  <si>
    <t>PSO Perv Humiliation &amp; Encouragement</t>
  </si>
  <si>
    <t xml:space="preserve">You call me up for the first time and I know immediately what you need: a dose of humiliation and encouragement for your perverted desires. </t>
  </si>
  <si>
    <t>phone sex operator, trigger words, noncon, goon, cum countdown, pervert encouragement, humiliation</t>
  </si>
  <si>
    <t>Silent Call: Feet &amp; Breeding</t>
  </si>
  <si>
    <t xml:space="preserve">Narration of the listener living out a fantasy with a cutie, worshiping her feet and then fucking to breed her. </t>
  </si>
  <si>
    <t>foot fetish, cum on toes, missionary, breeding heavy, ap feet</t>
  </si>
  <si>
    <t>Script Fill: Transgender She-Cock Bull</t>
  </si>
  <si>
    <t xml:space="preserve">The listener is my husband who comes home and catches me getting railed by a gorgeous, big dick tgirl. I confess how long I’ve been offering my pussy, and even our son &amp; daughter, to transgender fuck studs. </t>
  </si>
  <si>
    <t>cuckold, femdom, transgender she-cock worship, tgirl worship, tgirl breeding, free use sluts, sph</t>
  </si>
  <si>
    <t>Custom: Daddy's Video Collection</t>
  </si>
  <si>
    <t xml:space="preserve">I found my dad’s secret video collection stuffed under his bed and end up enjoying his secret porn life. Daddy catches me and decides to bring me into the action. </t>
  </si>
  <si>
    <t>snuff, female masturbation, moaning, noncon, rope/bondage, snuff creampie</t>
  </si>
  <si>
    <t>Custom: Rose's Birthday</t>
  </si>
  <si>
    <t xml:space="preserve">The perverted family is back for more shenanigans with captions and voicemails. It's Rose's birthday and mommy is planning her first gangbang! But first, she needs to take a shopping trip to get prepared for the big night. </t>
  </si>
  <si>
    <t>fake text messages, voicemails, DDlg, MDlg, incest, creampie cleanup, fisting, breastfeeding, oral, porn, gangbang, lingerie, bikini</t>
  </si>
  <si>
    <t>Custom: Mommy Gets Gangbanged</t>
  </si>
  <si>
    <t xml:space="preserve">You already know I’m a slutty mommy. I invite three neighbor brothers over so I can give them a special wanking. They get aggressive and want more than wanking. </t>
  </si>
  <si>
    <t>MDlb, raceplay, slutty milf, cum on tits, noncon, anal, creampie, force, cream-pie cleanup, CEI</t>
  </si>
  <si>
    <t>Custom: A Porn Mom’s Interview</t>
  </si>
  <si>
    <t xml:space="preserve">I role-play as a mother who got her daughter into porn and what lead us to the final, pinnacle porn scene of her life.  </t>
  </si>
  <si>
    <t>photo shoots, slut training, bbc gangbang, bukkake, beast, cnc, bondage, snuff, extreme use, viagra, monster cocks, pervert encouragement</t>
  </si>
  <si>
    <t>Custom: Slut Mommy Storytime</t>
  </si>
  <si>
    <t xml:space="preserve">Mom wakes you up in the middle of the night to wank you while telling you about the other guy she fucked earlier in the day </t>
  </si>
  <si>
    <t xml:space="preserve"> MDlb, ASMR, handjob, multiple cum loads, cum on tits, creampie, throat pie, cum drunk, cuckold, kissing, CEI, milf</t>
  </si>
  <si>
    <t>Custom: Breastfeeding Horny Mommy</t>
  </si>
  <si>
    <t>I role-play as a mom that can’t help but get horny from breastfeeding. You come in and catch me masturbating and I have you help your mother cum.</t>
  </si>
  <si>
    <t>MDlb, female masturbation, breastfeeding, asshole teasing, fuck your mother, moaning, female orgasm</t>
  </si>
  <si>
    <t>Pervy Rambling Mom Helpers</t>
  </si>
  <si>
    <t>Ramblings from the mind of Miss Bea</t>
  </si>
  <si>
    <t>accomplice, perv families, noncon, MDlb, rambling</t>
  </si>
  <si>
    <t>But Daddy, I Need To Pee!</t>
  </si>
  <si>
    <t>This is an implied ap audio I made that’s posted publicly and I thought this might be a fun listen with my voice adjusted. Listener is my daddy who’s fed me lots of water and juice and doesn’t let me use the bathroom which makes me pee my pants. And more.</t>
  </si>
  <si>
    <t>DDlg, watersports, pee in pants, creampie, squirt during penetration</t>
  </si>
  <si>
    <t>Custom: Pervert Fleshlight JOI</t>
  </si>
  <si>
    <t xml:space="preserve">An extreme and pervy JOI intended to be used with a fleshlight masturbation toy. </t>
  </si>
  <si>
    <t>encouragement, male masturbation, cum countdown, noncon, pervert encouragement</t>
  </si>
  <si>
    <t>Custom: Purge Night</t>
  </si>
  <si>
    <t xml:space="preserve">Once a year, a company has an annual Purge Night where men can be as rough and aggressive as they want with every female employee. I am the HR manager and organizer of this night. You (the listener) are the new male employee hire that gets introduced to this night of debauchery.  </t>
  </si>
  <si>
    <t>no AP, misogyny, accomplice, gender traitor, submissive sluts, noncon, moaning and sex noise sfx, extreme use</t>
  </si>
  <si>
    <t>Silent Call: Seductive Accomplice</t>
  </si>
  <si>
    <t>Anything can happen in our imaginations. Let me guide you through your true desires</t>
  </si>
  <si>
    <t>accomplice, noncon, unconscious, pussy only, pervert encouragement</t>
  </si>
  <si>
    <t>Custom: Hypnotherapy From Mommy</t>
  </si>
  <si>
    <t xml:space="preserve"> You are my patient and I am your therapist. You have revealed some really twisted sexual desires and fantasies you have and I decide that the only way to help you deal with them in a “healthy” way is through hypnotherapy. I put you into trance and become your mother and age regress you, bringing up your attraction to your little sister and me, and finally taking your virginity.</t>
  </si>
  <si>
    <t>hypno, binaural, therapist/patient, incest, age regression, little sis/big bro, MDlb, oral, oral sfx, cowgirl, incest sex, creampie, cum countdown, CEI, creampie cleanup.</t>
  </si>
  <si>
    <t>Silent Call: Super Bad Accomplice Corruption</t>
  </si>
  <si>
    <t xml:space="preserve">A fictional story about how I brought you (the listener) down a really dark, perverted, twisted spiral. </t>
  </si>
  <si>
    <t>corruption, accomplice, extreme, porn addiction, role-play, noncon, devious gf</t>
  </si>
  <si>
    <t>Custom: Blowjob &amp; Rimjob Worship</t>
  </si>
  <si>
    <t xml:space="preserve">You have a sex crazed cutie and my words guiding you along through her worshiping your cock with her mouth and giving you a sloppy rimjob until you finish with giving her a facial. </t>
  </si>
  <si>
    <t>oral, blowjob sfx, throat use, tease, rimjob, facial, begging, accomplice</t>
  </si>
  <si>
    <t>Slutty Mommy Confession</t>
  </si>
  <si>
    <t>I sit you (the listener) down to let you in on my truth since you've been curious about so many things. I'm a slut for big cock and I reveal your father's cuck role and why I always have so many men over when he's not home. I am a manipulative and selfish slut mommy, slowly manipulating and mind fucking you into a cuck role by forcing you into the closet when one of my dates shows up during our talk.</t>
  </si>
  <si>
    <t>implied ap, MDlb, mommy kink, cuckold, size queen, humiliation, mindfuck, female moans, face slapping, blowjob sfx, anal, anal creampie, breeding, voyeur, creampie panties, cheating wife</t>
  </si>
  <si>
    <t>Custom: Cock Pumping Championship</t>
  </si>
  <si>
    <t xml:space="preserve">It’s the annual perv cock pumping championship where the biggest pervs compete to see who can out pump all the others while the wildest filth is played out before them. </t>
  </si>
  <si>
    <t>perv JOI, male masturbation, gooning, pornstars, striptease, fisting, gangbang, extreme, edging, pervert encouragement</t>
  </si>
  <si>
    <t>Pervy Ramble: Sex Dolls, Public Perving, DDlg Seduction</t>
  </si>
  <si>
    <t>Just a ramble from things that are currently turning me on</t>
  </si>
  <si>
    <t>sex dungeon, accomplice, lb/woman, egirls, public, DDlg, panties, tease, anal, rambling</t>
  </si>
  <si>
    <t>Silent Call: SPH Accomplice</t>
  </si>
  <si>
    <t>Accomplice role-play with SPH sprinkled in</t>
  </si>
  <si>
    <t>accomplice, noncon, rough, SPH, mouth fucking, creampie</t>
  </si>
  <si>
    <t>Custom: Mommy Train</t>
  </si>
  <si>
    <t>You invite your friends over and I make you watch me enjoy each one, having you help and interact throughout</t>
  </si>
  <si>
    <t>MDlb, handjobs, cuckold, oral, creampie, anal, CEI, tit fuck, kissing, creampie cleanup, fingering, light raceplay</t>
  </si>
  <si>
    <t>Custom: Family Movie Night</t>
  </si>
  <si>
    <t>A mom and dad film a special porn video that shows off their slutty toy</t>
  </si>
  <si>
    <t>MDlg, DDlg, oral, submissive slut, ball gag, leash and collar, bondage, rimming, female moans, blow job sfx, beast, beast sfx, creampie</t>
  </si>
  <si>
    <t>Silent Call: Time Freeze</t>
  </si>
  <si>
    <t xml:space="preserve"> We’re out and about on a hot summer day at an ice cream parlor. Let’s freeze time and have you follow every filthy instruction I have. </t>
  </si>
  <si>
    <t>accomplice, mindfuck, noncon, oral, creampie, cum countdown</t>
  </si>
  <si>
    <t>Silent Call: Naughty Zoo GF</t>
  </si>
  <si>
    <t xml:space="preserve">I role-play as your girlfriend who proves she’s just as perverted as you. </t>
  </si>
  <si>
    <t>beast, perverted af</t>
  </si>
  <si>
    <t>Silent Call: You Crave Me, Your Accomplice</t>
  </si>
  <si>
    <t xml:space="preserve">Let me push your limits and make your fantasies come alive. </t>
  </si>
  <si>
    <t>accomplice, unconscious, noncon, sex slave</t>
  </si>
  <si>
    <t>Silent Call: Emma’s New Daddy</t>
  </si>
  <si>
    <t xml:space="preserve">It’s all fun and games until Emma’s new daddy starts taking what he wants </t>
  </si>
  <si>
    <t>bad mom, Emma’s perspective, noncon, training, oral, force, accomplice</t>
  </si>
  <si>
    <t>ilent Call: Your Perv Dealer</t>
  </si>
  <si>
    <t xml:space="preserve">Your favorite accomplice is back for more. </t>
  </si>
  <si>
    <t>accomplice, unconscious, noncon, pussy only, pervert encouragement</t>
  </si>
  <si>
    <t>Custom: The Naughty Neighbor’s Part 1</t>
  </si>
  <si>
    <t>A married couple have sex with their neighbors, the infamous duo from a former audio (Rose’s Birthday) who are perv parents. The pervy parents let them in on their perverted family life, inspiring the couple to dip into the same lifestyle, especially after finding their daughter was chatting in a pervy chatroom called Miss Bea’s Bedroom.</t>
  </si>
  <si>
    <t>swinging, corruption, incest, captions, DDlg, pillow humping, panties</t>
  </si>
  <si>
    <t>Custom: Princess Academy</t>
  </si>
  <si>
    <t xml:space="preserve">I’m Miss Peach and I run the Princess Academy where I teach helpful (and completely pervy) skills. </t>
  </si>
  <si>
    <t>training, incest, DDlg, MDlg, seduction, striptease/lap dance, gangbang mention, oral sfx, creampie</t>
  </si>
  <si>
    <t>Custom: Mommy’s Hypnotherapy Part 2</t>
  </si>
  <si>
    <t>I’m a therapist who knows about the extreme perversions inside of your head. Instead of dispelling them, I decide to do a special kind of hypnotherapy</t>
  </si>
  <si>
    <t>hypno, binaural, asmr, sfx, mom/son, perv encouragement, accomplice, brief incest mention, noncon, three orgasms/one cum countdown, face use, creampies</t>
  </si>
  <si>
    <t>Custom: Knotty Girlfriend</t>
  </si>
  <si>
    <t xml:space="preserve">Oops, my boyfriend caught have a super perverted moment with my two furry pets. Luckily, he is turned on by it and we start training them to be both our fuck toys. </t>
  </si>
  <si>
    <t>beast, sfx, moaning, creampies, oral, rimming, pegging, group sex</t>
  </si>
  <si>
    <t>Custom: Welcome Home, Son</t>
  </si>
  <si>
    <t xml:space="preserve">A new mother settles down with her family, setting the course of her son’s life. </t>
  </si>
  <si>
    <t>incest, extreme ap, MDlb, DDlg, sibling incest, oral, anal</t>
  </si>
  <si>
    <t>Naughty Neighbors Part 2</t>
  </si>
  <si>
    <t xml:space="preserve">A mother sits down with her daughter to talk about the things she discovered on her tablet (in part 1 audio) and her daughter coyly seduces her. Afterwards, she brings her husband in to ask him if he wants to join in the naughty fun. </t>
  </si>
  <si>
    <t xml:space="preserve"> incest, MDlg, DDlg, female masturbation, kissing, oral, creampie, creampie cleanup and swap</t>
  </si>
  <si>
    <t>Silent Call: Accomplice Addiction</t>
  </si>
  <si>
    <t xml:space="preserve">You know I’m the only thing you need, sending you into the deepest pleasures of perversion. </t>
  </si>
  <si>
    <t>accomplice, seductive, noncon, mindfuck, lose control</t>
  </si>
  <si>
    <t>Improv Quickie: Anal Whore Mommy</t>
  </si>
  <si>
    <t xml:space="preserve">Just a down and dirty quickie about a mom offering her ass to her son. </t>
  </si>
  <si>
    <t>incest, anal, slutty mommy, anal creampie, dirty talk, Mdlb</t>
  </si>
  <si>
    <t>Custom Improv: Maisie Moon’s School For Good Girls</t>
  </si>
  <si>
    <t>I teach my students everything they need to be good girls for daddies. One particular session, I bring in a daddy that’s ready to have some hands on training with his girls. I’m in a particularly demanding mood, encouraging more than what’s been taught.</t>
  </si>
  <si>
    <t>accomplice, DDlg, sis/sis kissing, face fucking, noncon, creampie, cum countdown</t>
  </si>
  <si>
    <t>Bea Quickie: Pump For Mommy’s Tits</t>
  </si>
  <si>
    <t xml:space="preserve">A quick audio where I show off my big mommy tits and beg for you to cover them with cum. </t>
  </si>
  <si>
    <t>mommy kink, big bimbo tits, cum on tits, cumslut, MDlb</t>
  </si>
  <si>
    <t>Silent Call: Accomplice Trance</t>
  </si>
  <si>
    <t>You’re in some alternate realm where I can make anything happen. You start tied down and blindfolded while I make helpers appear on your lap, sending you deeper down into bliss and perverted ecstasy.</t>
  </si>
  <si>
    <t>accomplice, corruption, noncon, trance, pervert encouragement</t>
  </si>
  <si>
    <t>Silent Call: Car Ride Accomplice</t>
  </si>
  <si>
    <t>We added another rider to our road trip and use her to have some fun</t>
  </si>
  <si>
    <t>accomplice, public play, oral, all three holes, noncon</t>
  </si>
  <si>
    <t>Silent Call: Daddy’s Girl</t>
  </si>
  <si>
    <t>I’m daddy’s accomplice, encouraging daddy to enjoy his sweet girl</t>
  </si>
  <si>
    <t>accomplice, creampie, breeding, oral, ddlg</t>
  </si>
  <si>
    <t>Silent Call: Secret Pervert</t>
  </si>
  <si>
    <t xml:space="preserve"> I found some pervy shit on your phone, decided to encourage you because I don’t want to lose my boyfriend, but you can’t seem to fess up to the truth. </t>
  </si>
  <si>
    <t xml:space="preserve"> accomplice, pervy joi, corruption, noncon, pervy gfe</t>
  </si>
  <si>
    <t>Script Fill: Pervy Show Time</t>
  </si>
  <si>
    <t>A pervy couple have fun with their new play thing</t>
  </si>
  <si>
    <t>accomplice, oral sfx, whining/crying sfx, bondage, porn, face sitting, tit cumshot, cum swapping</t>
  </si>
  <si>
    <t>Script Fill: Mommy’s Wake Up</t>
  </si>
  <si>
    <t xml:space="preserve">A mom tries to wake her son from a nap…in a special way. </t>
  </si>
  <si>
    <t>MDlb, sweet mommy vibes, cuddle time, clit rubbing outercourse, penetration, wet sfx, female moan</t>
  </si>
  <si>
    <t>Custom Improv: TikTok Doll JOI</t>
  </si>
  <si>
    <t>Your gf is back for more teasing and encouraging with your tik Tok obsessions</t>
  </si>
  <si>
    <t>pervy gfe, JOI, light humiliation/tease, tik Tok, male masturbation</t>
  </si>
  <si>
    <t>Custom Improv: Misogynistic Podcast Episode</t>
  </si>
  <si>
    <t xml:space="preserve"> A woman holds a podcast that typically gives advice to men how to respect women until she is given a listener submitted question that is asking how to successfully disrespect women and use them. </t>
  </si>
  <si>
    <t>no ap, misogyny, noncon, forced intoxication, all three holes, brief snuff mention, bondage, choking, gangbang</t>
  </si>
  <si>
    <t>Custom: Naughty Neighbors Part 3</t>
  </si>
  <si>
    <t xml:space="preserve">The two families come together for fun live movie streaming. </t>
  </si>
  <si>
    <t>incest, perv lifestyle, girl on girl, DDlg, MDlg, oral, anal</t>
  </si>
  <si>
    <t>Silent Call: Inner Voice Corruption</t>
  </si>
  <si>
    <t xml:space="preserve">I’m the corruptive inner voice in your head, nudging you along. </t>
  </si>
  <si>
    <t>pervert encouragement, slow, seductive, corruption</t>
  </si>
  <si>
    <t>Title: Silent Call: Corrupted Mom Confession</t>
  </si>
  <si>
    <t xml:space="preserve">A mother’s confession about how she got corrupted by the new boyfriend in her life. </t>
  </si>
  <si>
    <t>accomplice, noncon, corruption, bad mom</t>
  </si>
  <si>
    <t>Pervy Ramblings: Dolls &amp; Ping Pong Balls</t>
  </si>
  <si>
    <t>Ramblings from Miss B's crazy head</t>
  </si>
  <si>
    <t>Custom: Daughter Slut Programming</t>
  </si>
  <si>
    <t xml:space="preserve">Dr. Beatrix has state of the lab where she brainwashes daughters into being perfect fuck dolls for their daddies. Two of my patients have been exceptionally successful and I decide to brainwash them more, encouraging them to be sluts for all men. </t>
  </si>
  <si>
    <t>accomplice, hypnosis, DDlg, daughter swapping, submissive sluts</t>
  </si>
  <si>
    <t>Custom: Mom Confesses Her Secret</t>
  </si>
  <si>
    <t>A confessional from a mother that lives alone with her son who taught him all about his body and sex...in a very unconventional way</t>
  </si>
  <si>
    <t>MDlb, handjob, prostate milking, confessional, loving/sweet mom</t>
  </si>
  <si>
    <t>Custom: Satanic Ritual &amp; Your Mother</t>
  </si>
  <si>
    <t xml:space="preserve">A mother is one of the leaders of a Satanic cult and the group initiates her son after years of training. </t>
  </si>
  <si>
    <t xml:space="preserve"> mom/son, satanic religion, extreme, binaural, extreme age, snuff</t>
  </si>
  <si>
    <t>Silent Call: Deeper &amp; Worse</t>
  </si>
  <si>
    <t xml:space="preserve">A story about a man that fell deeper into his sick and twisted desires. </t>
  </si>
  <si>
    <t xml:space="preserve"> extreme, corruption, porn addiction, noncon</t>
  </si>
  <si>
    <t>Custom: Babysitting Adventures</t>
  </si>
  <si>
    <t>Third person perspective about a couple that secretly trained and enjoyed their own personal fuck toy.</t>
  </si>
  <si>
    <t>extreme age, oral, sfx, anal, cum eating, watersports</t>
  </si>
  <si>
    <t>Custom: Daddy’s Perv Life</t>
  </si>
  <si>
    <t xml:space="preserve">I’m the best accomplice you could ask for. Encouraging and feeding you all the things a daddy like you desires. </t>
  </si>
  <si>
    <t>DDlg, accomplice, outercourse, breeding, trigger word heavy</t>
  </si>
  <si>
    <t>Silent Call: Daddy’s Sissy Son</t>
  </si>
  <si>
    <t xml:space="preserve">I insist that you use our son as your own sissy girl and fuck toy. </t>
  </si>
  <si>
    <t>accomplice, encouraged bi, feminization, DDlb, anal</t>
  </si>
  <si>
    <t xml:space="preserve">Script Fill: Step-Daddy’s Surprise </t>
  </si>
  <si>
    <t xml:space="preserve">The script is told from the step father’s perspective, a story about when he first really notices his step daughter. </t>
  </si>
  <si>
    <t>DDlg, temptation, noncon, facial</t>
  </si>
  <si>
    <t>Custom Improv: Pervert Unleashed</t>
  </si>
  <si>
    <t>You’re my perverted puppet and I’ve been keeping you on the edge all week until I bring you into my dungeon and provide a mom/daughter for you to unleash on with my assistance</t>
  </si>
  <si>
    <t>accomplice, Mistress/slave, slut mommy abuse, noncon, cum countdown</t>
  </si>
  <si>
    <t>Silent Call: Accomplice Visualizations</t>
  </si>
  <si>
    <t>You’re back again, aren’t you? Let your favorite accomplice paint the most delicious and forbidden pictures for you in your mind.</t>
  </si>
  <si>
    <t>accomplice, pervert encouragement, slow &amp; seductive</t>
  </si>
  <si>
    <t>Custom: Daddy’s Cock Doll</t>
  </si>
  <si>
    <t>A story of how new parents prepare and train their new cock doll to lovingly bond with Daddy.</t>
  </si>
  <si>
    <t>extreme age, encouraging mom, oral, sfx, cum drinking</t>
  </si>
  <si>
    <t>Silent Call: Daddy’s Girl Turns Into a Perv</t>
  </si>
  <si>
    <t xml:space="preserve">A story of a woman’s life as a secret perv, all thanks to her father. </t>
  </si>
  <si>
    <t>Tags: accomplice, DDlg, corruption, noncon, training</t>
  </si>
  <si>
    <t>Custom: Katie &amp; Bea Play</t>
  </si>
  <si>
    <t xml:space="preserve">The FIRST (and hopefully not last) collaboration with Maisie Moon and Katie (not Katie Starling). Miss Bea and Katie look at instagram treats together and let our perv hair loose. </t>
  </si>
  <si>
    <t>perv women, lady on girl, watersports, oral</t>
  </si>
  <si>
    <t>Helping Your Futa Babysitter</t>
  </si>
  <si>
    <t xml:space="preserve">You have a futa babysitter babysitting you and your little sister. You get jealous of the attention your sister gets and your babysitter helps get revenge. </t>
  </si>
  <si>
    <t>futa, extreme age, face fucking, anal, snuff, watersports</t>
  </si>
  <si>
    <t>Babysitter Playtime</t>
  </si>
  <si>
    <t>A babysitter finds out a special game that two siblings play and joins in on the fun.</t>
  </si>
  <si>
    <t>incest, oral, creampies, bro/sis</t>
  </si>
  <si>
    <t>Incest Mommy</t>
  </si>
  <si>
    <t>A mother wakes up her son, finds a surprise, and shows him what his incestuous future will look like</t>
  </si>
  <si>
    <t>incest, MDlb, extreme age</t>
  </si>
  <si>
    <t>Slut Mommy Spies On You</t>
  </si>
  <si>
    <t xml:space="preserve">A mother catches her son jerking off and takes matters into her own hands. </t>
  </si>
  <si>
    <t>incest, MDlb, slutty mommy, oral, oral sfx, mutual masturbation</t>
  </si>
  <si>
    <t>Knotty Girlfriend Part 2</t>
  </si>
  <si>
    <t xml:space="preserve">I find out our milf neighbor is desperate for a fuck buddy and I have the perfect solution for her. </t>
  </si>
  <si>
    <t>perverted gfe, beast, zoo, sfx, oral, creampies, threesome/foursome</t>
  </si>
  <si>
    <t>Pervy Ramble August</t>
  </si>
  <si>
    <t>The ramblings of my perverted mind</t>
  </si>
  <si>
    <t>Seraphina Guardian Angel Corruption</t>
  </si>
  <si>
    <t>Your guardian angel (me) appears to you for the first time following some internal turmoil you’ve experienced with your secret perversion. I appear like I’m there to help forgive you of your sins, but end up corrupting you further.</t>
  </si>
  <si>
    <t>hypno, blasphemy, corruption, accomplice, hypnotic suggestion, sfx</t>
  </si>
  <si>
    <t>Custom: Twin Guillotine</t>
  </si>
  <si>
    <t>I’m the director of a super extreme production that involves two guillotines and two cutie sluts.</t>
  </si>
  <si>
    <t>snuff, guillotine, porn, extreme, brief gore</t>
  </si>
  <si>
    <t>Custom Improv: Mom Goes To Therapy</t>
  </si>
  <si>
    <t>A mother confesses to her special relationship with her son to her therapist.</t>
  </si>
  <si>
    <t>MDlb, incest, confession, naughty mommy, breastfeeding</t>
  </si>
  <si>
    <t>Silent Call: Daughter’s Confession</t>
  </si>
  <si>
    <t>I am a woman that confesses the special love my father showed me years ago.</t>
  </si>
  <si>
    <t>DDlg, incest, good girl turned slutty, confession</t>
  </si>
  <si>
    <t>Script Fill: Maisie Moon Goes to Confession</t>
  </si>
  <si>
    <t>I go into a confessional booth and confess the sins of me and my husband.</t>
  </si>
  <si>
    <t>snuff, confessional, extreme, necro</t>
  </si>
  <si>
    <t>Silent Call: Mom Son Incest</t>
  </si>
  <si>
    <t>A mother and a son find out they both have an incest fetish and have sex for the first time</t>
  </si>
  <si>
    <t>incest, breeding, inbreeding</t>
  </si>
  <si>
    <t>Custom Collab: Katie Kat &amp; Bea Play Again</t>
  </si>
  <si>
    <t>Listen in on a phone between two pervy ladies where we enjoy adorable images.</t>
  </si>
  <si>
    <t>lesbian pervs, female masturbation, strap on sex, oral, squirt, female orgasm</t>
  </si>
  <si>
    <t>Custom: Dr. Vale’s Corruption</t>
  </si>
  <si>
    <t>This file is about how the listener came into a dentist’s office to get a procedure done, but Dr. Vale is secretly evil and used her medically intoxicated patients to perform brain surgery on them and install femdom fetishes into their brain, ultimately corrupting and changing them forever.</t>
  </si>
  <si>
    <t>hypnosis, drilling sfx, pegging, implied age, black latex, ASMR, Corruption, mindfucking</t>
  </si>
  <si>
    <t>Silent Call: Inner Struggle</t>
  </si>
  <si>
    <t>I’m that voice in your head…you know the rest.</t>
  </si>
  <si>
    <t>accomplice, slow &amp; seductive</t>
  </si>
  <si>
    <t>Custom: Mommy’s Sissy Girl</t>
  </si>
  <si>
    <t>You get turned into a sissy girl for mommy and daddy.</t>
  </si>
  <si>
    <t>MDlb, sissification, feminization, breastfeeding, farting sfx, brief scat, watersports, sissy breeding w/daddy</t>
  </si>
  <si>
    <t>Silent Call: Out of Character</t>
  </si>
  <si>
    <t>You did something that is totally out of character, thanks to your pervy inner voice aka me</t>
  </si>
  <si>
    <t>accomplice, slow &amp; seductive, corruption, noncon, kidnap</t>
  </si>
  <si>
    <t>Custom: Sadistic Mommy Confession</t>
  </si>
  <si>
    <t>A mother confesses to the evil, sadistic things she’s been secretly doing to bully her son &amp; daughter.</t>
  </si>
  <si>
    <t>no sex, pure mental sadism, evil, confession, corrupted, mind fucks</t>
  </si>
  <si>
    <t>Custom: Sister Vale’s Corruption</t>
  </si>
  <si>
    <t>An alter boy meets a new nun, Sister Vale, who corrupts him and makes him do blasphemous acts.</t>
  </si>
  <si>
    <t>blasphemy, Catholic, nun, SFX, eucharist, church desecration, confessional booth, pegging, cum countdown, implied age</t>
  </si>
  <si>
    <t>Improv: Mommy Lover Encouragement</t>
  </si>
  <si>
    <t>So, you want to fuck your mother? Allow me to encourage you.</t>
  </si>
  <si>
    <t>incest, mommy/son, accomplice, noncon, encouragement</t>
  </si>
  <si>
    <t>Incest Mommy Daughter Convo</t>
  </si>
  <si>
    <t>I voice as a mother and daughter in this audio having a conversation on the phone about our incest family growth and future.</t>
  </si>
  <si>
    <t>incest, MDlb, DDlg, inbreeding</t>
  </si>
  <si>
    <t>Improv: Cocktease Angel</t>
  </si>
  <si>
    <t>Pervert encouragement over a social media “influencer”</t>
  </si>
  <si>
    <t>tik tok/YouTube/instagram becomes porn, DDlg, noncon, cocktease slut</t>
  </si>
  <si>
    <t>Improv: A Mother’s Nightmare</t>
  </si>
  <si>
    <t>In order to escape a war ridden country, a couple offers refuge by making a family perform a show on camera before they escape.</t>
  </si>
  <si>
    <t>confessional style, incest, forced incest, DDlg, MDlb, siblings</t>
  </si>
  <si>
    <t>Custom: Project 8R33D</t>
  </si>
  <si>
    <t>You (the listener) enter Project 8R33D, a facility that works to brainwash men and women to their most primal, sexual selves. Men are broken down to be breeder sluts and women are broken down to be breeding whores. I am your program facilitator and introduce your new quarters and new purpose: to breed.</t>
  </si>
  <si>
    <t>no ap, binaural, ASMR, loops, snap deepened, breeding, primal fucking, masturbation</t>
  </si>
  <si>
    <t>Silent Call: Girlfriend Corruption</t>
  </si>
  <si>
    <t>I get fucked up and obsessed with dark stuff and seek out a boyfriend to dig my claws into to satisfy my needs.</t>
  </si>
  <si>
    <t>corruption, noncon, DDlg, confessional style, accomplice</t>
  </si>
  <si>
    <t>Improv: Mommy’s Good Mindless Boy</t>
  </si>
  <si>
    <t>Light hypno file that encourages you to become triggered by my voice and hearing me say, “good boy.”</t>
  </si>
  <si>
    <t>hypno, snaps, edge, tease, MDlb</t>
  </si>
  <si>
    <t>Improv: Anal Gooning</t>
  </si>
  <si>
    <t>You’re my mindless gooner, I’m your Goddess. I encourage you to watch anal porn while listening to me encourage you and enhance your gooning.</t>
  </si>
  <si>
    <t>gooning, anal, porn encouragement, milfs &amp; daughters, edging, misogyny</t>
  </si>
  <si>
    <t>Custom: Homewrecking Therapist</t>
  </si>
  <si>
    <t>You're a married man. I'm your therapist. I put you under and decide to fully corrupt and mindfuck you to betray your wife and become obsessed and serve me. Leave your wife for me...you have no choice as I've got you under a spell and trance.</t>
  </si>
  <si>
    <t>no ap, hypno, femdom, homewrecking, corruption, sfx, mindfuck</t>
  </si>
  <si>
    <t>Improv: Intoxicating Slumber Party</t>
  </si>
  <si>
    <t>I set up a perfect night for you with daughter and friends.</t>
  </si>
  <si>
    <t>accomplice, intoxication, light scat play, rimming, smelly sweaty holes, breeding, DDlg</t>
  </si>
  <si>
    <t>Improv: Take Beast Dick for Mistress</t>
  </si>
  <si>
    <t>I’m your mistress and you’re getting fucked by my pet.</t>
  </si>
  <si>
    <t>femdom, beast, anal/pegged, cumdump princess</t>
  </si>
  <si>
    <t>Improv: Porn Addict Homewrecking</t>
  </si>
  <si>
    <t>I encourage you to replace your marriage with your porn addiction.</t>
  </si>
  <si>
    <t>femdom, porn encouragement, homewrecking, no ap</t>
  </si>
  <si>
    <t>Silent Call: Passive Mom Accomplice</t>
  </si>
  <si>
    <t>A weak, vulnerable mother becomes trapped in a very challenging situation</t>
  </si>
  <si>
    <t>submissive woman, noncon, confession</t>
  </si>
  <si>
    <t>Script Fill: Girl Scouts Part 1-7</t>
  </si>
  <si>
    <t>Posted these back during the psst days and one of my perverts made me think about them! Three sisters find themselves in a predicament while out selling cookies.</t>
  </si>
  <si>
    <t>gangbang, noncon, can’t remember what else lol</t>
  </si>
  <si>
    <t>Custom: A Father’s Proposition</t>
  </si>
  <si>
    <t>I’m a bank manager. The listener is a single father who’s behind on his mortgage payments. I offer him a way to get out of his financial struggle that will benefit me as he has the perfect fuck toy.</t>
  </si>
  <si>
    <t>perv woman, lesbian perv, aggressive milf, DDlg, forced incest, sadism, slapping, bj sfx, squirting, face sitting, spitting, anal, facial, ass to mouth</t>
  </si>
  <si>
    <t>Silent Call: A Changed Mother</t>
  </si>
  <si>
    <t>A single mother moves into a friend’s home and slowly changes into something that shocks, yet excites her.</t>
  </si>
  <si>
    <t>accomplice, perv woman, confession, slow burn</t>
  </si>
  <si>
    <t>Silent Call: Popper Addict Daddy</t>
  </si>
  <si>
    <t>JOI type file that tells you what you’re addicted to: poppers &amp; perv gooning</t>
  </si>
  <si>
    <t>JOI, popper, male masturbation, relapse, noncon</t>
  </si>
  <si>
    <t>Silent Call: Perv Relapse</t>
  </si>
  <si>
    <t>The listener relapses back into his old habits and I, being the accomplice/perv queen that I am, pushes all his buttons to remind him where he belongs.</t>
  </si>
  <si>
    <t>relapse, $nuff, necr0, noncon, wide range of #, accomplice, light humiliation</t>
  </si>
  <si>
    <t>Royal Theater Wank</t>
  </si>
  <si>
    <t>I visit a pervert in London and we attend a show at the Royal Theater and of course, I make it pervy.</t>
  </si>
  <si>
    <t>accomplice, handjob, sfx/ambience, mom/daughter love, corruption, anal mention, public play</t>
  </si>
  <si>
    <t>Daughter Corrupts Daddy</t>
  </si>
  <si>
    <t>I confess how I corrupted my father into what I had always wished he was.</t>
  </si>
  <si>
    <t>accomplice, DDlg, corruption, confessional</t>
  </si>
  <si>
    <t>Pervy Ramble: Past Corruption MD</t>
  </si>
  <si>
    <t>Pervy Ramble:</t>
  </si>
  <si>
    <t>Past Body, Corrupting Daddies, Mom &amp; Daughter</t>
  </si>
  <si>
    <t>Hypno: The Magical Ms. Vale</t>
  </si>
  <si>
    <t>A boy finds himself lured into a magic show and ends up being the magician’s assistant, being put through all kinds of humiliating positions.</t>
  </si>
  <si>
    <t>hypno, implied ap, handjob, public humiliation, all kinds of sfx, high heel penetration, magical transformation, hands free orgasm</t>
  </si>
  <si>
    <t>Babysitter Corruption</t>
  </si>
  <si>
    <t>A bratty babysitter ruins boys for sport.</t>
  </si>
  <si>
    <t>implied ap, virgin collector, humiliation, brat, femdom, foot fetish, anal penetration, teasing, hands free orgasm, hypnotic loop at end</t>
  </si>
  <si>
    <t>Erotica Reading: Akeno</t>
  </si>
  <si>
    <t>A female teacher seduces her student.</t>
  </si>
  <si>
    <t>script fill/erotic story, older woman, breeding</t>
  </si>
  <si>
    <t>Improv: Knotty Husband</t>
  </si>
  <si>
    <t>I’m your wife and we both know your cock curious. Why don’t we try out a “safe” cock we have at home with us.</t>
  </si>
  <si>
    <t>beast, bi encouragement, anal, rimming, no ap</t>
  </si>
  <si>
    <t>Silent Call: Daddy’s Accomplice</t>
  </si>
  <si>
    <t>Just a PSO getting a daddy off with filthy fantasies and hentai moaning in the background</t>
  </si>
  <si>
    <t>accomplice, pervert encouragement, hentai moaning background</t>
  </si>
  <si>
    <t>Seraphina’s Corruption Part 2</t>
  </si>
  <si>
    <t>The listener’s guardian angel is back for more corruption and making him worse.</t>
  </si>
  <si>
    <t>accomplice, pervert encouragement, hypnotic, blasphemy, satanic, sfx, higher pitched voice sfx, breeding</t>
  </si>
  <si>
    <t>Mom’s Secret Obsession</t>
  </si>
  <si>
    <t>female perv, confessional, lesbian, corrupted</t>
  </si>
  <si>
    <t>Seductive Perv Encouragement</t>
  </si>
  <si>
    <t>A stream of consciousness, trigger happy file.</t>
  </si>
  <si>
    <t>pervert encouragement, triggers galore</t>
  </si>
  <si>
    <t>Script Fill: Park Playtime w/Mommy</t>
  </si>
  <si>
    <t>A mom pulls her son to the side to satisfy his extra play time request.</t>
  </si>
  <si>
    <t>MDlb, public sex, moaning, blow job</t>
  </si>
  <si>
    <t>Silent Call: Inner Voice Story Time</t>
  </si>
  <si>
    <t>A tale about a man that became obsessed and absolutely depraved for his neighbor</t>
  </si>
  <si>
    <t>noncon, inner voice, bad mom</t>
  </si>
  <si>
    <t>Custom: Double Zip Tie</t>
  </si>
  <si>
    <t>The listener’s girlfriend watches from the closet while her boyfriend does unspeakable things. It turns her on and she requests the same treatment afterwards.</t>
  </si>
  <si>
    <t>snuff, noncon, choking sfx, extreme, begging</t>
  </si>
  <si>
    <t>Silent Call: Humiliating Yet Encouraging Wife Experience</t>
  </si>
  <si>
    <t>God, my husband is the filthiest pervert. I wish he’d fuck me like that.</t>
  </si>
  <si>
    <t>humiliation, pervert encouragement, noncon, accomplice</t>
  </si>
  <si>
    <t>Improv: Webcam Incest Whore</t>
  </si>
  <si>
    <t>A woman ends up accepting cash payment for doing forbidden incest acts on camera.</t>
  </si>
  <si>
    <t>incest, MDlb, DDlg, group sex, bad mom</t>
  </si>
  <si>
    <t>Custom: Mommy’s Sissy Girl Part 2</t>
  </si>
  <si>
    <t>Mommy has turned her son into her daughter and has more kinky fun with her little princess</t>
  </si>
  <si>
    <t>sissification, MDlb, scat, watersports, breastfeeding, gangbang, oral, anal, creampies</t>
  </si>
  <si>
    <t>Improv: Suck Your Own Dick</t>
  </si>
  <si>
    <t>Experience what it's like to suck your own dick, giving yourself three loads with my encouragement.</t>
  </si>
  <si>
    <t>autofellatio, oral, CEI, no ap</t>
  </si>
  <si>
    <t>Improv: Knotty Hubby Pt 2</t>
  </si>
  <si>
    <t>Encouraging wifey brought even more cock for her husband to experience.</t>
  </si>
  <si>
    <t>beast, bicurious, encouraged bi, tgirl cock, oral, anal</t>
  </si>
  <si>
    <t>Custom: Encouraged Naughty Wank</t>
  </si>
  <si>
    <t>I know your naughty little secret and want to encourage you to wank even more over it.</t>
  </si>
  <si>
    <t>accomplice, male masturbation, touching, handjob</t>
  </si>
  <si>
    <t>Improv: Piss Sluts in a Bar</t>
  </si>
  <si>
    <t>Me and the listener are on a date and start talking about our kinks, one of the main ones being pee.</t>
  </si>
  <si>
    <t>watersports, public play, pee drinking</t>
  </si>
  <si>
    <t>Improv: Make Her a Mommy</t>
  </si>
  <si>
    <t>A man lures a cutie into doing something she is not prepared for.</t>
  </si>
  <si>
    <t>pervert encouragement, breeding</t>
  </si>
  <si>
    <t>Silent Call: Uncle Turns Daddy</t>
  </si>
  <si>
    <t>An uncle finds himself a father to his niece and struggles with containing his secret desires.</t>
  </si>
  <si>
    <t>DDlg, tormented, narration, noncon</t>
  </si>
  <si>
    <t>Custom: Devious, Unexpected Accomplice</t>
  </si>
  <si>
    <t>An influencer holds a meet and greet and singles out a man because she knows the only reason he’s there…for the little views.</t>
  </si>
  <si>
    <t>accomplice, cosplay</t>
  </si>
  <si>
    <t>Silent Call: Parking Lot Accomplice</t>
  </si>
  <si>
    <t>We show up to a parking lot so I can spew all kinds of perverted fantasies with what we see walking by.</t>
  </si>
  <si>
    <t>accomplice, snuff, necr0, noncon</t>
  </si>
  <si>
    <t>Custom: Debt Collector</t>
  </si>
  <si>
    <t>A widowed mother owes me money and show up at her door and take what I want as a punishment.</t>
  </si>
  <si>
    <t>forced incest, violence, noncon, futa, snuff</t>
  </si>
  <si>
    <t>Custom: Lucky Boy</t>
  </si>
  <si>
    <t>A new babysitter enjoys her first babysitting job with a new cutie.</t>
  </si>
  <si>
    <t>older woman/boy, blow job, bj sfx</t>
  </si>
  <si>
    <t>Improv: Porn Widow Reprogramming</t>
  </si>
  <si>
    <t>I am the oracle of porn. The audio is geared towards porn widows, but made for a man’s enjoyment. Instead of a wife crying over her husband’s porn worship and addiction, submit to porn and her husband.</t>
  </si>
  <si>
    <t>no ap, porn encouragement, homewrecking</t>
  </si>
  <si>
    <t>AP Porn Widow Reprogramming</t>
  </si>
  <si>
    <t>I am the oracle of porn. The audio is geared towards porn widows, but made for a man’s enjoyment. Instead of a wife crying over her husband’s porn worship and addiction, submit to porn and her husband and be his naughty accomplice.</t>
  </si>
  <si>
    <t>porn encouragement, homewrecking, accomplice</t>
  </si>
  <si>
    <t>Improv: Mother Offers Herself</t>
  </si>
  <si>
    <t>I’m your wife’s sister and you put me in a predicament that turns me into a perverted slut.</t>
  </si>
  <si>
    <t>blackmailed, MDlg, female moans, face sitting, uncle/niece, incest</t>
  </si>
  <si>
    <t>Silent Call: Hot Wife Mom</t>
  </si>
  <si>
    <t>I am your size queen hot wife. We both enjoy the fact that I am a slutty wifey. I want to discuss how I can carry down the tradition down to our daughters and son.</t>
  </si>
  <si>
    <t>milf, slutty wife/hotwife, size queen, training, bad mom, encouraged bi, breeding</t>
  </si>
  <si>
    <t>Script Fill: Halloween Princess</t>
  </si>
  <si>
    <t>What happens when a couple are total pervs on Halloween?</t>
  </si>
  <si>
    <t>intoxication, accomplice, pervy wife experience, oral, facial</t>
  </si>
  <si>
    <t>Improv: Femdom Pervert Humiliation</t>
  </si>
  <si>
    <t>40 min of berating humiliation for your filthy fantasies.</t>
  </si>
  <si>
    <t>pervert humiliation, femdom, trigger filled</t>
  </si>
  <si>
    <t>Improv: Mom Encourages Brothers</t>
  </si>
  <si>
    <t>I overhear my boys using the f slur as an insult and give them a hands on lesson.</t>
  </si>
  <si>
    <t>MDlb, incest, brother/brother, encouraged bu, DDlb, handjob, oral, 69</t>
  </si>
  <si>
    <t>Custom: Queen of Corruption</t>
  </si>
  <si>
    <t>I kind of have a thing for corrupting innocent men and turning them into addicted perverts.</t>
  </si>
  <si>
    <t>corruption, accomplice</t>
  </si>
  <si>
    <t>Silent Call: Submissive Accomplice</t>
  </si>
  <si>
    <t>A mother ends up being a man’s perfect accomplice.</t>
  </si>
  <si>
    <t>accomplice, slow build, noncon</t>
  </si>
  <si>
    <t>Silent Call: Hotwire Confessions</t>
  </si>
  <si>
    <t>A slutty hotwife confesses what she did during the day with a gang of men that showed up to your house.</t>
  </si>
  <si>
    <t>slut wife, size queen, gangbang, anal, watersports, breeding, daughter training</t>
  </si>
  <si>
    <t>Custom: Underground Mommy Club (Extreme AF)</t>
  </si>
  <si>
    <t xml:space="preserve">A well known pornstar explains how she got into her extreme kink and what she’s up to nowadays. </t>
  </si>
  <si>
    <t>extreme ap (super low number), $nuff, necr0, incest</t>
  </si>
  <si>
    <t>Custom: Daddy's Bride</t>
  </si>
  <si>
    <t>Daddy marries his daughter with Mommy's encouragement and cements their bond with  breeding on their honeymoon.</t>
  </si>
  <si>
    <t>DDlg, accomplice, breeding, incest</t>
  </si>
  <si>
    <t>Improv: Mommy’s Gay Boys</t>
  </si>
  <si>
    <t xml:space="preserve">As a treat for Mother’s Day, Mommy demands a show and pegging fest with Daddy and her sons. </t>
  </si>
  <si>
    <t>MDlb, encouraged bi, pegging, rimming, incest</t>
  </si>
  <si>
    <t>Custom: Naughty Bible Study Mommies</t>
  </si>
  <si>
    <t>A mother is part of a bible study group that uses a bible study as a front, using their sons as entertainment and sexual use.</t>
  </si>
  <si>
    <t>MDlb, femdom, anal fisting, pegging, pussy fisting</t>
  </si>
  <si>
    <t>Improv: Teacher Doms Her Bitch</t>
  </si>
  <si>
    <t xml:space="preserve">A teacher and two of the class bullies use and put a simp in his place. </t>
  </si>
  <si>
    <t>teacher/student, humiliation, degradation, watersports, face sitting, cuckold, encouraged bi, older woman/boy</t>
  </si>
  <si>
    <t xml:space="preserve">Improv: You Might Have a Mommy Kink If… </t>
  </si>
  <si>
    <t>Wondering if you have a Mommy Domme kink? You might know for sure after this.</t>
  </si>
  <si>
    <t>MDlb, incest-ish, femdom</t>
  </si>
  <si>
    <t>Custom: Underground Mommy Club Part 2</t>
  </si>
  <si>
    <t xml:space="preserve">She’s back but this time, you get to listen in on a live filming involving her pregnant sister. </t>
  </si>
  <si>
    <t>Extreme, incest, $nuff, necr0, crying sfx, female moaning, face sitting, noncon, extreme ap number</t>
  </si>
  <si>
    <t xml:space="preserve">Improv: Southern Charm &amp; Corruption </t>
  </si>
  <si>
    <t xml:space="preserve">I use a southern accent to portray a southern girl that loves to corrupt men. </t>
  </si>
  <si>
    <t>corruption, dad/daughter, watersports, pervert encouragement</t>
  </si>
  <si>
    <t>Pervy Rambling Pics Naked News</t>
  </si>
  <si>
    <t>Improv: Sleeping Mommy Fuck</t>
  </si>
  <si>
    <t>My sweet boy crawls into bed in the middle of the night and I commit to appearing I’m asleep…even whenever he start touching and fucking.</t>
  </si>
  <si>
    <t>MDlb, incest</t>
  </si>
  <si>
    <t>Brutal Revenge</t>
  </si>
  <si>
    <t>I am a witch and scour thousands of men to find one I can use for serving up revenge. The listener is transformed into a beast of man to help me torture a mother and daughter.</t>
  </si>
  <si>
    <t>witchcraft, hypnosis, transformation, binaural, torture, sadism, beast, forced STD sex, snuff, extreme</t>
  </si>
  <si>
    <t>Script Fill: Babysitting Adventures</t>
  </si>
  <si>
    <t>The listener is my boyfriend and likes to hear about my wild and pervy babysitting adventures.</t>
  </si>
  <si>
    <t>older female/boy, babysitter, oversized cock, wet sex sfx</t>
  </si>
  <si>
    <t>Custom: Regressed Hookup</t>
  </si>
  <si>
    <t xml:space="preserve">The listener picks up a girl from a bar and ends up revealing what she really is. </t>
  </si>
  <si>
    <t>pervert encouragement, corruption, porn addict, accomplice</t>
  </si>
  <si>
    <t>Custom: Intoxicated Training</t>
  </si>
  <si>
    <t>I help you train good girls to be cum hungry sluts through a little Pavlov inspired intoxication</t>
  </si>
  <si>
    <t>pervert encouragement, accomplice, intoxication, cumslut</t>
  </si>
  <si>
    <t>Improv: Suck Em Fuck Em Twins</t>
  </si>
  <si>
    <t>A perverted story about how two girls earned the title of Suck Em and Fuck Em Twins</t>
  </si>
  <si>
    <t>cumslut, storytime, breeding, watersports, group sex</t>
  </si>
  <si>
    <t>Custom: Mom Turns You Into a Perv Daddy</t>
  </si>
  <si>
    <t xml:space="preserve">I’m your mom and I think we should have a baby so I can watch you become a naughty daddy. </t>
  </si>
  <si>
    <t>MDlb, incest, pervert encouragement, oral sfx, breeding</t>
  </si>
  <si>
    <t>Trigger Filled Humiliation</t>
  </si>
  <si>
    <t xml:space="preserve">Another 45 min triggered filled humiliation file. </t>
  </si>
  <si>
    <t>perv humiliation, binaural, cum countdown, denial</t>
  </si>
  <si>
    <t>Mommy’s Sissy Girl Pt 3</t>
  </si>
  <si>
    <t>More of Mommy’s son turned into her daughter. Shopping trip, mom-dad-daughter time, and Daddy’s poker get together fun.</t>
  </si>
  <si>
    <t>humiliation, sissification, feminization, breastfeeding, body modification, scat, diapers, oral, rimming, anal</t>
  </si>
  <si>
    <t xml:space="preserve">Custom: Underground Nurse Club </t>
  </si>
  <si>
    <t xml:space="preserve">(This audio request was inspired by audio #116) A nurse creates a secret club of other nurses in the hospital that are taking advantage of a medical anomaly that is creating oversized cocks. </t>
  </si>
  <si>
    <t>oversized cock, older woman/boy, extreme ap, oral sfx, bro/sis, female pervs</t>
  </si>
  <si>
    <t>Improv: Whore Mommy’s Whore</t>
  </si>
  <si>
    <t xml:space="preserve">Your mom is the town whore and she teaches you about sex, her job, and turns you out as well. </t>
  </si>
  <si>
    <t>prostitute mommy, incest, forced bi, light humiliation, gaslighting mommy, MDlb, gangbang</t>
  </si>
  <si>
    <t>Silent Call: Mommy Accomplice Corruption</t>
  </si>
  <si>
    <t xml:space="preserve">Your mom pulls out the pervert inside of you. </t>
  </si>
  <si>
    <t>incest, pervert encouragement, accomplice</t>
  </si>
  <si>
    <t>Custom: Loving Mother Gets Interrupted</t>
  </si>
  <si>
    <t xml:space="preserve">The listener is my son and we are lovers. My daughter is sleeping in the bed whenever he wakes me up for sex. We decide to continue with her sleeping, but she wakes up, acts super annoying and I put her in her place  </t>
  </si>
  <si>
    <t>Improv: Whore Mommy Makes You a Man</t>
  </si>
  <si>
    <t xml:space="preserve">You overhear and spy on your mother getting railed. She invites you after he leaves and teaches you about sex and the roles that men and women play…in her whore-ish perspective </t>
  </si>
  <si>
    <t>incest, MDlb, misogyny, noncon, corrupting Mommy, handjob, family gangbang</t>
  </si>
  <si>
    <t>Improv: Public Perving</t>
  </si>
  <si>
    <t xml:space="preserve">Me and you are sitting inside of mall, people watching, while I set up naughty, depraved scenarios to tease and arouse you. </t>
  </si>
  <si>
    <t>public handjob, incest, DDlg, MDlb</t>
  </si>
  <si>
    <t>Custom: DDlg Pee &amp; Play</t>
  </si>
  <si>
    <t xml:space="preserve">A daughter gets curious while sleeping in Daddy’s bed with her sister which leads to Daddy enjoying his daughters for the first time. </t>
  </si>
  <si>
    <t>DDlg, consensual, oral, anal, watersports</t>
  </si>
  <si>
    <t>Improv: Suck Em Fuck Em Twins Pt 2</t>
  </si>
  <si>
    <t xml:space="preserve">The twins grow up and our two male characters are still in their life. </t>
  </si>
  <si>
    <t>DDlg, corruption, group sex, accomplice</t>
  </si>
  <si>
    <t>Non AP post</t>
  </si>
  <si>
    <t>I've been experimenting with ASMR heavy files in my Loyalfans subscription site. Very experimental and more ASMR than anything.</t>
  </si>
  <si>
    <t>ASMR</t>
  </si>
  <si>
    <t>Silent Call: Santa’s Elf</t>
  </si>
  <si>
    <t xml:space="preserve">I’m Santa’s accomplice elf and make sure Santa gets everything he wants. </t>
  </si>
  <si>
    <t>accomplice, bad mom, oral, creampie, creampie cleanup</t>
  </si>
  <si>
    <t xml:space="preserve">Custom: Reject Humiliation Mindfuck Loop
</t>
  </si>
  <si>
    <t>Hypnotic file with loops of following themes: sexual reject humiliation, premature ejaculator, prostitute sex, noncon with mother and another name.</t>
  </si>
  <si>
    <t>no ap, humiliation, hypnotic, noncon</t>
  </si>
  <si>
    <t>Improv: Meta Pervert Humiliation</t>
  </si>
  <si>
    <t xml:space="preserve">I’m your girlfriend and find out you’ve been paying some lady named Maisie Moon to feed you sick fantasies and humiliate you. </t>
  </si>
  <si>
    <t>humiliation, noncon, snuff, necro</t>
  </si>
  <si>
    <t xml:space="preserve"> Improv: DDlg Brothel Request</t>
  </si>
  <si>
    <t xml:space="preserve">You request a special request through Madame Bea’s Dollhouse brothel. </t>
  </si>
  <si>
    <t>incest, DDlg, breeding</t>
  </si>
  <si>
    <t>Custom: PMC Overload</t>
  </si>
  <si>
    <t xml:space="preserve">Dr Beatrix is back and is settled into her program for sexual deviants. One of my patients ends up having a dangerous overload, spewing spunk everywhere, overloaded with pleasure and mindfucks. I enter his mind and work out the kinks. </t>
  </si>
  <si>
    <t>hypnotic, incest, DDlg, breeding, mindfuck, sfx</t>
  </si>
  <si>
    <t>Silent Call: Naughty Mommy Helper</t>
  </si>
  <si>
    <t xml:space="preserve">Another slow burn about a mom accomplice, full of encouragement and persistence. </t>
  </si>
  <si>
    <t>accomplice, slow burn, confessional style</t>
  </si>
  <si>
    <t>Custom: Little Feet Worship Hypno</t>
  </si>
  <si>
    <t xml:space="preserve">I’m your Mistress and encourage you to drop and goon for little feet. </t>
  </si>
  <si>
    <t>hypno, foot fetish, gentle femdom, binaural, ASMR, cum countdown</t>
  </si>
  <si>
    <t>Custom: Santa’s Good Girl</t>
  </si>
  <si>
    <t xml:space="preserve"> I am completely brainwashed by my parents that Santa is in fact real because he comes and visits my bedroom every single year and spreads so much magic inside and on me. He even brings elves, special misfit toys, and Rudolph!!</t>
  </si>
  <si>
    <t>making the holiday pervy af, cum play, glory hole, beast, parent accomplices, webcam</t>
  </si>
  <si>
    <t xml:space="preserve"> Improv: A Mother’s Deep Love</t>
  </si>
  <si>
    <t>A new mother is completely and totally obsessed with her new daughter to extreme levels.</t>
  </si>
  <si>
    <t>pregnancy, extreme ap, snuff, necro, lactation, female perv</t>
  </si>
  <si>
    <t>Improv: Stockholm Mindfuck</t>
  </si>
  <si>
    <t xml:space="preserve">I am a girl who has been enslaved for years, but I love my owners! So much so that I give them the greatest gift. </t>
  </si>
  <si>
    <t>slave, gore, snuff, masochist pain slut</t>
  </si>
  <si>
    <t xml:space="preserve"> Improv: Ukrainian Gangbang Slut</t>
  </si>
  <si>
    <t>I encourage and direct a fucked up bukkake gangbang..</t>
  </si>
  <si>
    <t>gangbang, three holes, anal gaping, cum play, facial, cum eating</t>
  </si>
  <si>
    <t>Encouraged Tgirl Fuck</t>
  </si>
  <si>
    <t>I’m your girlfriend and usually we do perv role-play in the bedroom but I’ve noticed how you’ve been into tgirls lately so I invite one over for you.</t>
  </si>
  <si>
    <t>tgirl, f slur, humiliation, pervy girlfriend experience</t>
  </si>
  <si>
    <t>Script Fill: Most Shocking Find</t>
  </si>
  <si>
    <t xml:space="preserve">The listener is invited over as I reveal the secret journals of my own father. </t>
  </si>
  <si>
    <t>DDlg, incest</t>
  </si>
  <si>
    <t xml:space="preserve"> Improv: A Nun’s Pervert Encouragement</t>
  </si>
  <si>
    <t xml:space="preserve">The listener comes to me with an issue, but I end up encouraging his dark desires. </t>
  </si>
  <si>
    <t>pervert encouragement, blasphemy, noncon, snuff</t>
  </si>
  <si>
    <t>Custom: The Female Perv</t>
  </si>
  <si>
    <t xml:space="preserve">Unpacking and unfolding the mind, actions, and motivations of female pervs. </t>
  </si>
  <si>
    <t xml:space="preserve"> female perv, noncon, teacher, babysitter, incest</t>
  </si>
  <si>
    <t>Custom: Extreme Homewrecking Mistress</t>
  </si>
  <si>
    <t xml:space="preserve">I set up a day of extreme gooning session along with prostitutes in your home and wait for your wife to come home for even more depravity. </t>
  </si>
  <si>
    <t xml:space="preserve">extreme homewrecking, goon/porn encouragement, snuff, necro
</t>
  </si>
  <si>
    <t>Silent Call: Naughty Wife Accomplice</t>
  </si>
  <si>
    <t>I’m your wife and we’ve discovered we’re both perverts.</t>
  </si>
  <si>
    <t>pervert encouragement, accomplice, noncon</t>
  </si>
  <si>
    <t>Custom: Mommy Gets Abusive</t>
  </si>
  <si>
    <t xml:space="preserve">You’re my husband and I get a wild idea one evening. </t>
  </si>
  <si>
    <t>MDlb, DDlb, beast, watersports, sadistic, humiliation, oral, anal, f slur, forced bi</t>
  </si>
  <si>
    <t>Improv: Best Mom Ever</t>
  </si>
  <si>
    <t xml:space="preserve">I’m your slut mommy and the best mom because I have an idea to please you even more. </t>
  </si>
  <si>
    <t>MDlb, slutty mommy, anal, TikTok sluts, breeding, training</t>
  </si>
  <si>
    <t>Improv: Daughter Lessons</t>
  </si>
  <si>
    <t>Your accomplice’s homeschool lessons for your daughters.</t>
  </si>
  <si>
    <t>DDlg, accomplice, incest, inbreeding</t>
  </si>
  <si>
    <t>Custom: Slut Therapy</t>
  </si>
  <si>
    <t xml:space="preserve">I’m a nympho cutie and my parents are making me see a therapist. In exchange for good progress report, I offer my therapist my body. </t>
  </si>
  <si>
    <t>seduction, slut, DDlg, creampie, oral sfx</t>
  </si>
  <si>
    <t>Improv: Perv Queen Succubus</t>
  </si>
  <si>
    <t>I come into your room one night and seduce you into a lifetime of depravity enslaved to me.</t>
  </si>
  <si>
    <t>ASMR, pervert encouragement, snuff, noncon</t>
  </si>
  <si>
    <t xml:space="preserve">Custom Collab w/Katie Kat: PSO </t>
  </si>
  <si>
    <t xml:space="preserve">Katie Kat is my daughter and I want her to follow in my footsteps as a taboo PSO and audio creator. This is her first lesson. </t>
  </si>
  <si>
    <t>MDlg, training, accomplice, corruption, PSO</t>
  </si>
  <si>
    <t>Script Fill: Unholy Trinity</t>
  </si>
  <si>
    <t xml:space="preserve">Sister Lilith will help you with your troubles by making them worse. </t>
  </si>
  <si>
    <t>blasphemy, nun, corruption, accomplice</t>
  </si>
  <si>
    <t>Custom: Holiday Family Dinner</t>
  </si>
  <si>
    <t xml:space="preserve">A family has a very interesting way of having a holiday dinner. </t>
  </si>
  <si>
    <t>incest, beast, group sex</t>
  </si>
  <si>
    <t>Custom: Magical Miss Vale Incest Show</t>
  </si>
  <si>
    <t xml:space="preserve">I am magic sorceress and a father comes across my tent while visiting a carnival. I reveal his truest desire and make it come alive in a magical realm. </t>
  </si>
  <si>
    <t>DDlg, magic, sfx, incest, breeding, cum countdown</t>
  </si>
  <si>
    <t>Improv: Gangbang Trauma Mindfuck</t>
  </si>
  <si>
    <t xml:space="preserve">I play as a woman who had a traumatic event happen years ago and how its affected my life. </t>
  </si>
  <si>
    <t>forced gang bang, double penetration, trauma, noncon, piss</t>
  </si>
  <si>
    <t>Pervy Ramble December</t>
  </si>
  <si>
    <t>Custom: PMC Conversion Therapy Intro</t>
  </si>
  <si>
    <t xml:space="preserve">In this version of the PMC, not only do we accept perverts, we help to brainwash and bring our clients closer to God. </t>
  </si>
  <si>
    <t>PMC, hypno, 3dio binaural mic, binaural, blasphemy, god is a woman, pervert encouragement, gooning</t>
  </si>
  <si>
    <t>Custom: PMC Conversion Therapy Loop</t>
  </si>
  <si>
    <t>Post Taboo AP Aftercare</t>
  </si>
  <si>
    <t>Listen to this after you consume some hardcore, fucked up taboo audios.</t>
  </si>
  <si>
    <t xml:space="preserve"> aftercare, acceptance, post nut</t>
  </si>
  <si>
    <t>Improv: Best Mom Ever Pt 2</t>
  </si>
  <si>
    <t>Your loving, slut mommy is proud of you for turning our daughter into your anal whore.</t>
  </si>
  <si>
    <t>anal only, MDlb, accomplice mommy, loving mommy, misogyny, ass to mouth</t>
  </si>
  <si>
    <t>Mommy Shares Son With Daddy</t>
  </si>
  <si>
    <t xml:space="preserve">Mommy teases you relentlessly, never letting you fuck her. But, if you let Daddy have sex with you for the first time, you’re promised to have sex with mommy next time. </t>
  </si>
  <si>
    <t>3dio mic, ear licks &amp; kisses, ASMR, MDlb, whispers, handjob, CEI, encouraged bi, cock sucking, anal, facial, f slur</t>
  </si>
  <si>
    <t>Custom: Gooner Girl Part 2</t>
  </si>
  <si>
    <t>This file is like a sissy file without mentioning the word sissy. She/her is used, as well as clit and fuck hole. Goon to your special girls with Mommy and drop deeper</t>
  </si>
  <si>
    <t xml:space="preserve"> sissy, hypno, anal play, panties, goon</t>
  </si>
  <si>
    <t>Improv: Daddy Encourages Breastfeeding Mommy</t>
  </si>
  <si>
    <t xml:space="preserve">A mom admits how horny she gets breastfeeding and daddy encourages more.  </t>
  </si>
  <si>
    <t>MDlb, breastfeeding, female moans, daddy accomplice</t>
  </si>
  <si>
    <t xml:space="preserve"> Improv: A Prostitutes Trauma Pt 1 </t>
  </si>
  <si>
    <t xml:space="preserve">I roleplay as a prostitute who takes a multiple man booking in my home one early morning. The deal turns very sour, nonconsensual, and traumatic. </t>
  </si>
  <si>
    <t xml:space="preserve"> noncon, crying, glucking, force, mindfuck, husband degradation</t>
  </si>
  <si>
    <t>Custom: Extreme Wife Accomplice w/Beast</t>
  </si>
  <si>
    <t xml:space="preserve">Extreme beast role-play where I role-play as your wife that helps satisfy one of your super depraved fantasies. </t>
  </si>
  <si>
    <t>EXTREME, beast, snuff, necro, accomplice, brief scat mention</t>
  </si>
  <si>
    <t>Improv: Deeper Goon Hole</t>
  </si>
  <si>
    <t xml:space="preserve">ASMR, binaural trigger heavy file. </t>
  </si>
  <si>
    <t xml:space="preserve"> noncon, pervert encouragement, snuff, 3dio, binaural mic, ASMR</t>
  </si>
  <si>
    <t xml:space="preserve">Script Fill: First Communion </t>
  </si>
  <si>
    <t xml:space="preserve">A Catholic priest’s wife and son have an incestuous affair.  </t>
  </si>
  <si>
    <t xml:space="preserve"> MDlb, blasphemy, incest</t>
  </si>
  <si>
    <t xml:space="preserve"> Improv: Prostitute’s Trauma Pt 2</t>
  </si>
  <si>
    <t xml:space="preserve">Prostitute mommy has to make a choice whenever her daughter comes into the room.  </t>
  </si>
  <si>
    <t>noncon, DDlg, forced incest, creampie cleanup</t>
  </si>
  <si>
    <t>Silent Call: Mommy’s Pervert Encouragement</t>
  </si>
  <si>
    <t xml:space="preserve">A confessional type of story about a mother who not only begins an incestuous love affair with her son, but also encourages his secret perv life.  </t>
  </si>
  <si>
    <t>MDlb, incest, pervert encouragement</t>
  </si>
  <si>
    <t>Improv: PMC Reboot Session</t>
  </si>
  <si>
    <t xml:space="preserve">Patient is getting too comfortable in his current perv levels so I work to inspire more perversion inside his mind.  </t>
  </si>
  <si>
    <t>3dio, binaural, hypnosis, pervert encouragement</t>
  </si>
  <si>
    <t>Custom: A Mother’s Gay Corruption</t>
  </si>
  <si>
    <t xml:space="preserve"> A slow and deep burn about a mother who’s determined to live out one of her most depraved fantasies, using her boyfriend and corrupting him to her will.   </t>
  </si>
  <si>
    <t>encouraged bi, corruption, man/lb, anal, oral, creampie</t>
  </si>
  <si>
    <t xml:space="preserve"> Improv: Ebony Ass Meat</t>
  </si>
  <si>
    <t xml:space="preserve">Mommy encourages you to pump and get triggered by beautiful black women with gorgeous, fat asses.  </t>
  </si>
  <si>
    <t xml:space="preserve"> no ap, race play, anal only, misogyny, MDlb</t>
  </si>
  <si>
    <t>Improv: Gangbang Trauma Mindfuck Pt 2</t>
  </si>
  <si>
    <t xml:space="preserve">After the podcast, one of the men from my past invites me to a secret club where I end up directing the same scene that happened to me years ago. </t>
  </si>
  <si>
    <t>noncon, enslavement, gangbang, porn director</t>
  </si>
  <si>
    <t xml:space="preserve"> Improv: Relapse Queen</t>
  </si>
  <si>
    <t>I let you know why you’ll always relapse back into my voice and your perversions</t>
  </si>
  <si>
    <t>binaural mic, 3dio, noncon, pervert encouragement</t>
  </si>
  <si>
    <t xml:space="preserve"> Improv: Accomplice GF Anal JOI</t>
  </si>
  <si>
    <t xml:space="preserve">You’re an ass man, even when it comes to smaller asses. </t>
  </si>
  <si>
    <t>anal only, JOI, pervert encouragement</t>
  </si>
  <si>
    <t xml:space="preserve"> Improv: DDlg Blackmail Accomplice</t>
  </si>
  <si>
    <t xml:space="preserve"> I’m so into real DDlg that I blackmail you into crossing the line. </t>
  </si>
  <si>
    <t>ddlg, accomplice, blackmail, panties</t>
  </si>
  <si>
    <t>Silent Call: Troubled Mom Diary</t>
  </si>
  <si>
    <t>A tale told through a mother’s diary entries about how she fell into a dark accomplice role</t>
  </si>
  <si>
    <t>accomplice, bad mom, noncon</t>
  </si>
  <si>
    <t xml:space="preserve"> Improv: Anal Scene</t>
  </si>
  <si>
    <t xml:space="preserve"> I’m the director of an extreme porn scene and you’re one of my stars. </t>
  </si>
  <si>
    <t>anal, scat, ass worship, intox</t>
  </si>
  <si>
    <t xml:space="preserve"> Silent Call: Perverted Teacher Experience</t>
  </si>
  <si>
    <t xml:space="preserve"> You’re dating me, a teacher, and I bring out the perverted side of you. </t>
  </si>
  <si>
    <t>accomplice, DDlg, pervert encouragement</t>
  </si>
  <si>
    <t xml:space="preserve">Improv: Farewell Fuckathon </t>
  </si>
  <si>
    <t xml:space="preserve">After your anal scene (audio #515), I recount our final fuckathon, full of depravity. </t>
  </si>
  <si>
    <t>anal, intox, cumplay, extreme</t>
  </si>
  <si>
    <t>Improv: Mommy’s Love &amp; Corruption</t>
  </si>
  <si>
    <t xml:space="preserve">A loving mother talks to her son about how she’s lovingly corrupted him to always get what is deserved. </t>
  </si>
  <si>
    <t>MDlb, corruption, pervert encouragement, anal</t>
  </si>
  <si>
    <t>Improv: DDlg Pervert Sympathy</t>
  </si>
  <si>
    <t xml:space="preserve">Another pervert affirmation file with added visualizations </t>
  </si>
  <si>
    <t>DDlg, pervert encouragement, incest</t>
  </si>
  <si>
    <t>Improv: Daddy &amp; Accomplice Princess Party</t>
  </si>
  <si>
    <t xml:space="preserve">I am your accomplice and we’re having a night of debauchery with my horny encouragement. </t>
  </si>
  <si>
    <t>DDlg, pervert encouragement, noncon, panties, strap on tag team</t>
  </si>
  <si>
    <t>Improv: Car Ride Accomplice</t>
  </si>
  <si>
    <t xml:space="preserve">We’re in the back of a car with my little cousin and I encourage the most depraved activities. </t>
  </si>
  <si>
    <t>accomplice, 3dio binaural mic, pervert encouragement, cum countdown w/surprise denial</t>
  </si>
  <si>
    <t>Improv: Prostitute’s Trauma Alternate Ending</t>
  </si>
  <si>
    <t xml:space="preserve">Summary: Commissioned by a perv after hearing audio #505 (Prostitute’s Trauma Part 2) and wanting a different ending. </t>
  </si>
  <si>
    <t>noncon, forced incest, forced bi, lg &amp; lb, trauma</t>
  </si>
  <si>
    <t>Improv: Sweet P Mommy</t>
  </si>
  <si>
    <t xml:space="preserve">A sweet P Mommy finally takes her son for the first time. ASMR heavy file with lots of ear licks. </t>
  </si>
  <si>
    <t>MDlb, ASMR, ear licks, incest, sensual</t>
  </si>
  <si>
    <t>Custom: Hypno Mommy</t>
  </si>
  <si>
    <t xml:space="preserve">A slow burn, taboo mesmerize session. I am your Mommy and I am a professional hypnotist. You've been stressed and seem tense so I talk you into a session. Seems innocent enough. Your body shows signs of arousal while going into trance which surprises me at first. But then I can't stop looking at it. Looking at you. Wanting to get closer. You will hear Mommy's inner turmoil until I eventually use my hypnotic control over you to get what I want. </t>
  </si>
  <si>
    <t>implied ap, MDlb, hypnosis, cnc, slow burn, breeding, incest</t>
  </si>
  <si>
    <t>Script Fill: If Miss Bea Was President</t>
  </si>
  <si>
    <t xml:space="preserve">Miss Bea gives her first presidential speech after being elected, introducing a new world of depravity and sexual revolution. </t>
  </si>
  <si>
    <t>incest, snuff, brothel, noncon</t>
  </si>
  <si>
    <t>Improv: Birth of a P Mom</t>
  </si>
  <si>
    <t xml:space="preserve">A mother finds something disturbing in her son’s room which starts even more disturbing yet horny thoughts in her own mind. </t>
  </si>
  <si>
    <t>MDlb, MDlg, DDlb, beast, incest, watersports</t>
  </si>
  <si>
    <t>Custom: Throat Whore Girlfriend</t>
  </si>
  <si>
    <t xml:space="preserve">Heavy misogyny girlfriend experience. </t>
  </si>
  <si>
    <t>misogyny, lots of oral sfx, choking sfx, spanking sfx, face slapping sfx, oral only, self degradation, submissive slut</t>
  </si>
  <si>
    <t>Improv: Toybox Inspiration</t>
  </si>
  <si>
    <t xml:space="preserve">If you know of the toy box killer, this setup will sound familiar. I role-play as the ultimate accomplice, introducing a new sex slave to their new enslavement to me and P Daddy. </t>
  </si>
  <si>
    <t>accomplice, intoxication, noncon, snuff</t>
  </si>
  <si>
    <t>Improv: Sister Accomplice</t>
  </si>
  <si>
    <t xml:space="preserve">I catch you spying on my daughter, your niece, and encourage not only using her, but forcibly encourage your own daughter, my niece, as well. </t>
  </si>
  <si>
    <t>ccomplice, incest, lesbian incest, DDlg, blackmail</t>
  </si>
  <si>
    <t>Silent Call: New Daddy Depravity</t>
  </si>
  <si>
    <t xml:space="preserve">Your sister dumped her daughter on you. You become her new Daddy and end up succumbing to your ultimate lust. </t>
  </si>
  <si>
    <t>DDlg, noncon</t>
  </si>
  <si>
    <t>Improv: Mommy’s Perv Rehab</t>
  </si>
  <si>
    <t xml:space="preserve">I role-play as your mother who helps you deal with your taboo perversions. </t>
  </si>
  <si>
    <t>MDlb, pervert encouragement, incest</t>
  </si>
  <si>
    <t>Improv: Dirty Talking Teen</t>
  </si>
  <si>
    <t xml:space="preserve">I role-play as a 19 year old that stays the night with you and ends up dirty talking with you about a younger version of myself. </t>
  </si>
  <si>
    <t>pervert encouragement, ap dirty talk, sensual</t>
  </si>
  <si>
    <t>Improv: Sibling Sex</t>
  </si>
  <si>
    <t xml:space="preserve">Heavy incest dirty talk from a sibling. </t>
  </si>
  <si>
    <t>incest, breeding, bro/sis</t>
  </si>
  <si>
    <t>Improv: Goddess Mom Daughter Session</t>
  </si>
  <si>
    <t xml:space="preserve">Dr. B hypnotizes her patient to prove to him that I not only can make the most taboo appear real, but I am his true Goddess of perversion. </t>
  </si>
  <si>
    <t>hypnosis, pervert encouragement, forced incest, breeding, noncon</t>
  </si>
  <si>
    <t>Improv: Accidental Mommy Sex</t>
  </si>
  <si>
    <t xml:space="preserve">A round of innocent play fighting turns into sex. </t>
  </si>
  <si>
    <t>MDlb, wet sex sfx, incest</t>
  </si>
  <si>
    <t>Silent Call: Detailed Taking</t>
  </si>
  <si>
    <t xml:space="preserve">I am that voice in your head recalling that one time you took what you wanted. </t>
  </si>
  <si>
    <t>noncon, oral, vag, anal</t>
  </si>
  <si>
    <t>Improv: Family Business</t>
  </si>
  <si>
    <t>I role-play as a mother to a family that does wild live streams in sneaky public places.</t>
  </si>
  <si>
    <t>incest, public sex, MDlb, MDlg, DDlg, DDlb, beast</t>
  </si>
  <si>
    <t xml:space="preserve">Improv: Twerk Star </t>
  </si>
  <si>
    <t xml:space="preserve">Trailer for a porn scene filled with twerking and taboo sex. </t>
  </si>
  <si>
    <t>oral, twerking, creampie.</t>
  </si>
  <si>
    <t>Custom: Brother &amp; Sister Explore Pt 2</t>
  </si>
  <si>
    <t xml:space="preserve">Siblings connect again after their first time together. </t>
  </si>
  <si>
    <t>incest, oral, siblings</t>
  </si>
  <si>
    <t>Silent Call: Trip to the Farm</t>
  </si>
  <si>
    <t xml:space="preserve">Your teacher holds you back at the farm field trip to meet the owners of the farm…and their dog. </t>
  </si>
  <si>
    <t>beast/boy, forced bi, noncon, watersports</t>
  </si>
  <si>
    <t>Improv: DDlg Blowjob Special</t>
  </si>
  <si>
    <t xml:space="preserve">A father takes advantage of his daughter’s long tongue and skills. </t>
  </si>
  <si>
    <t>DDlg, oral, facial</t>
  </si>
  <si>
    <t>Improv: A Woman’s Choice</t>
  </si>
  <si>
    <t xml:space="preserve">A mother’s daughter is pregnant and mom encourages her to abort. </t>
  </si>
  <si>
    <t>extreme, noncon, MDlg, abortion</t>
  </si>
  <si>
    <t>Improv: Good Little Niece</t>
  </si>
  <si>
    <t xml:space="preserve">An uncle continues his affair with his niece. </t>
  </si>
  <si>
    <t>uncle/niece, incest, oral, facial</t>
  </si>
  <si>
    <t>Improv: Please Cheat on Me</t>
  </si>
  <si>
    <t xml:space="preserve">Your shy girlfriend left you a voicemail explaining why you should cheat on her.  </t>
  </si>
  <si>
    <t>cuckquean, self degradation</t>
  </si>
  <si>
    <t>Improv: Perv Goon Bliss</t>
  </si>
  <si>
    <t xml:space="preserve">Trigger heavy perv goon bliss. </t>
  </si>
  <si>
    <t>accomplice, pervert encouragement, noncon, snuff, necro</t>
  </si>
  <si>
    <t>Silent Call: Misogyny Mommy Lesson</t>
  </si>
  <si>
    <t xml:space="preserve">Since it’s International Woman’s Day, a mother teachers her daughter the real lessons of being female. </t>
  </si>
  <si>
    <t>misogyny, gender traitor, accomplice, self degradation, noncon</t>
  </si>
  <si>
    <t>Improv: Drunk Mommy Sex</t>
  </si>
  <si>
    <t xml:space="preserve">Mom comes home drunk and cuddles with her son until he takes advantage of the situation. </t>
  </si>
  <si>
    <t>Improv: Mother Gender Traitor</t>
  </si>
  <si>
    <t xml:space="preserve">A mother sits down her son before college to give some advice about how to take what he wants. </t>
  </si>
  <si>
    <t>misogyny, noncon, snuff, abortion, motherly advice</t>
  </si>
  <si>
    <t>Improv: Twin Extremes</t>
  </si>
  <si>
    <t xml:space="preserve">We’re parents to twins and one is our sweet princess while the other one is treated like an object. </t>
  </si>
  <si>
    <t>MDlg, DDlg, incest, mean &amp; sweet mommy</t>
  </si>
  <si>
    <t>Improv: Porn Audition</t>
  </si>
  <si>
    <t>A story about a girl who tries out for one of the top taboo porn agencies.</t>
  </si>
  <si>
    <t>all holes, facial, bbc, n slur</t>
  </si>
  <si>
    <t>Improv: Porn Infection</t>
  </si>
  <si>
    <t xml:space="preserve">A man hides his HIV infection and still shows up to taboo porn scenes. </t>
  </si>
  <si>
    <t>STD, bbc, n slur, rimming, twerking, unprotected vaginal, throat creampie</t>
  </si>
  <si>
    <t>Improv: Twerkstar DP</t>
  </si>
  <si>
    <t>A new taboo pornstar shows up on scene to take two BBCs</t>
  </si>
  <si>
    <t>bbc, raceplay, n slur, double penetration, facial</t>
  </si>
  <si>
    <t>Improv: Niece’s Porn Debut</t>
  </si>
  <si>
    <t>An uncle’s niece starts getting bored having sex with her uncle and he decides to push her into porn</t>
  </si>
  <si>
    <t>uncle/niece, facial</t>
  </si>
  <si>
    <t>Improv: Deadly Twerking</t>
  </si>
  <si>
    <t>A twerking taboo porn star ends up in a scene with a man who is known for extreme uses</t>
  </si>
  <si>
    <t>spanking, oral, satanic, choking, almost snuff</t>
  </si>
  <si>
    <t>Improv: Perv Queen Phone Call</t>
  </si>
  <si>
    <t xml:space="preserve">You’re in jail and about to be released. Your perv queen accomplice calls to let you know what’s in store when you’re finally released with a perverted JOI. </t>
  </si>
  <si>
    <t>accomplice, pervert encouragement, JOI, snuff, noncon, humiliation</t>
  </si>
  <si>
    <t>Silent Call: Backseat Gangbang</t>
  </si>
  <si>
    <t xml:space="preserve">A woman pulls you from the park and drives you off to a parking garage where a group of people have their way with you. </t>
  </si>
  <si>
    <t>Domme/lb, f slur, forced bi, noncon, snuff</t>
  </si>
  <si>
    <t>Script Fill: Extreme AP JOI</t>
  </si>
  <si>
    <t xml:space="preserve">Edge for me until I countdown you down to a cum ending, full of trigger words. </t>
  </si>
  <si>
    <t>gentle femdom, JOI, pervert encouragement, consensual, anal</t>
  </si>
  <si>
    <t>Silent Call: Corrupted Mother</t>
  </si>
  <si>
    <t xml:space="preserve">Two for one story. A mother dives into an incestuous relationship which then leads to another story about another mother that was used for their pleasure. </t>
  </si>
  <si>
    <t>MDlb, DDlg, incest, accomplice</t>
  </si>
  <si>
    <t>Improv: Mother Lover</t>
  </si>
  <si>
    <t>Your mother is your lover, degrades your father, and plans your future</t>
  </si>
  <si>
    <t>no ap, MDlb, incest, breeding</t>
  </si>
  <si>
    <t>Improv: Blackmailed By Your Cousin</t>
  </si>
  <si>
    <t xml:space="preserve">I’m your younger cousin and I discover something on your phone that I decide to use as ammunition to control you. </t>
  </si>
  <si>
    <t>blackmail, JOI, ball slapping, NN, femdom, cum countdown with denial</t>
  </si>
  <si>
    <t>Improv: Fresh New Fuck Meat</t>
  </si>
  <si>
    <t>Simple encouragement to fuck brand new fuck meat.</t>
  </si>
  <si>
    <t>extreme ap, snuff, pervert encouragement</t>
  </si>
  <si>
    <t>Improv: Family of the Year</t>
  </si>
  <si>
    <t xml:space="preserve">I’m the mother of a huge family and being interviewed while a family orgy is taking place. </t>
  </si>
  <si>
    <t>incest, bi encouragement, intox, incest, DDlg, DDlb, MDlb, MDlg, siblings, fisting, double penetration</t>
  </si>
  <si>
    <t>Improv: Mommy’s Porn Encouragement</t>
  </si>
  <si>
    <t>Your mom encourages you through pumping to your favorite porn and social media teases</t>
  </si>
  <si>
    <t>MDlb, pervert encouragement, anal</t>
  </si>
  <si>
    <t>Improv: Public Daddy Dare</t>
  </si>
  <si>
    <t xml:space="preserve">A dare a step father to get so turned on during a sports event that he has to run to the bathroom to pump one out. </t>
  </si>
  <si>
    <t>DDlg, accomplice, public play</t>
  </si>
  <si>
    <t>Improv: DDlg Hypnotherapy Session</t>
  </si>
  <si>
    <t xml:space="preserve">Dr. Bea brings you and your daughter in to her office so help hypnotize her into being the best girl for her daddy. </t>
  </si>
  <si>
    <t>DDlg, accomplice, hypnosis, incest</t>
  </si>
  <si>
    <t>PervyRambleMarch.mp3</t>
  </si>
  <si>
    <t>Pervy Ramble</t>
  </si>
  <si>
    <t>Custom: Perv Gooning Company (lg)</t>
  </si>
  <si>
    <t xml:space="preserve">A file to accompany you through deep perv gooning. </t>
  </si>
  <si>
    <t>hypnotic, binaural, pervert encouragement, poppers, ASMR, goon encouragement</t>
  </si>
  <si>
    <t>Custom: Perv Gooning Company (lb)</t>
  </si>
  <si>
    <t>hypnotic, binaural, pervert encouragement, poppers, ASMR, goon encouragement, bi encouragement, f slur</t>
  </si>
  <si>
    <t>Script Fill: Best Big Sister</t>
  </si>
  <si>
    <t xml:space="preserve">Your much older sister takes care of you like a good sis. </t>
  </si>
  <si>
    <t>incest, siblings, watersports, piss in mouth sfx, blow job sfx</t>
  </si>
  <si>
    <t>Improv: Encouraged Bi Perv Gooning</t>
  </si>
  <si>
    <t>Hypnotic file encouraging you to goon to lb</t>
  </si>
  <si>
    <t>Improv: Alina’s Facial</t>
  </si>
  <si>
    <t>Alina shows off her skills in front of a camera with her porn costar.</t>
  </si>
  <si>
    <t>facial</t>
  </si>
  <si>
    <t>Improv: Katrina’s Creampie</t>
  </si>
  <si>
    <t xml:space="preserve">Katrina shows off her skills in front of a camera with her porn costar. </t>
  </si>
  <si>
    <t>creampie, oral</t>
  </si>
  <si>
    <t>Custom: Hypno Mommy Part 2</t>
  </si>
  <si>
    <t>Another slow burn with Mommy. See the timeline for part 1.
In part 1, our Mommy character struggles with feelings of arousal and desire after putting her son into trance for innocent reasons. Her taboo hunger gets the better of her. 
Part 2 is no different. Our Mommy character feels conflicted and is talked into giving another session to help aid in the listener's self improvement journey. What happens in trance...well, stays in trance. Again.</t>
  </si>
  <si>
    <t>no ap, incest, cnc, hypnosis, breeding, MDlb</t>
  </si>
  <si>
    <t>Improv: Daughter’s Punishment Room Pt 3</t>
  </si>
  <si>
    <t xml:space="preserve">Mom &amp; Dad find a reason to punish their daughter in their home dungeon. </t>
  </si>
  <si>
    <t>incest, S&amp;M, DDlg, anal, throat fuck sfx, ball gag sfx, spanking sfx</t>
  </si>
  <si>
    <t>Improv: Interracial Mixing</t>
  </si>
  <si>
    <t xml:space="preserve">Two ua bff’s and their boyfriends partner swap, experiencing interracial sex for the first time. </t>
  </si>
  <si>
    <t>raceplay, n slur, narrative &amp; 1st person, watersports, anal, oral</t>
  </si>
  <si>
    <t>Improv: Pervy Disney Streaming</t>
  </si>
  <si>
    <t xml:space="preserve">The public perving family takes a trip to Disney World and livestreams their depravity. </t>
  </si>
  <si>
    <t>public sex, incest, DDlg, MDlb, orgy</t>
  </si>
  <si>
    <t>Improv: JOI For The Most Depraved</t>
  </si>
  <si>
    <t xml:space="preserve">Your accomplice aka your perv queen encourages and pulls the worst out of you.  </t>
  </si>
  <si>
    <t>JOI, pervert encouragement, noncon, mindfucking, snuff, necro</t>
  </si>
  <si>
    <t>Scripts: Aaron Kasmov Script Showcase</t>
  </si>
  <si>
    <t xml:space="preserve">This file contains 8 short scripts written by Aaron Kasmov. Please enjoy the depravity. </t>
  </si>
  <si>
    <t>beastiality, bad mom, MDlb, gangbang, brothel</t>
  </si>
  <si>
    <t>Dungeon of Pain &amp; Trauma</t>
  </si>
  <si>
    <t xml:space="preserve">Imagine you walked into a dungeon where multiple cuties were forced into sex. </t>
  </si>
  <si>
    <t>ASMR(?), moans, bj sfx, crying sfx, sex sfx</t>
  </si>
  <si>
    <t>Improv: Breed Our Daughter</t>
  </si>
  <si>
    <t xml:space="preserve">I find proof our daughter has a crush on her father and encourage them to have sex. </t>
  </si>
  <si>
    <t>ddlg, breeding, accomplice, incest</t>
  </si>
  <si>
    <t>Improv: Intoxicated Enslavement</t>
  </si>
  <si>
    <t xml:space="preserve">I’m your Mistress and keep you drug addicted and fed with filth so you’ll always be mine. </t>
  </si>
  <si>
    <t>drug addiction, corruption, mistress/slave, hypnotic</t>
  </si>
  <si>
    <t>Improv: Daughter Calls Your PSO</t>
  </si>
  <si>
    <t xml:space="preserve">Your daughter calls me,  your taboo PSO, and gets a special DDlg silent call. </t>
  </si>
  <si>
    <t>one woman/two voices, ddlg, accomplice, cum countdown, breeding, incest</t>
  </si>
  <si>
    <t>Perv Fag JOI</t>
  </si>
  <si>
    <t xml:space="preserve">Hypnotic JOI dirty talk about gay boy stuff. </t>
  </si>
  <si>
    <t>man/lb, hypnotic, JOI, forced and encouraged bi</t>
  </si>
  <si>
    <t>Silent Call: Manipulated Bad Mom</t>
  </si>
  <si>
    <t xml:space="preserve">A bad man allows terrible things to happen to her daughter. </t>
  </si>
  <si>
    <t>noncon, corruption</t>
  </si>
  <si>
    <t>Improv: Mommy Takes You</t>
  </si>
  <si>
    <t>I’ve been wanking you for years but now I want you to have all of Mommy</t>
  </si>
  <si>
    <t>MDlb, incest, CEI, all three holes</t>
  </si>
  <si>
    <t>Intoxicated Control &amp; Corruption</t>
  </si>
  <si>
    <t>A mother has the listener and her daughter controlled to her desires through intoxication</t>
  </si>
  <si>
    <t>MDlg, forced intoxication, breeding, corruption, watersports, accomplice</t>
  </si>
  <si>
    <t>Silent Call: Deadly Woman in Leather</t>
  </si>
  <si>
    <t xml:space="preserve">A woman watches a lb fall into danger with a man only to join in and assist after some time. </t>
  </si>
  <si>
    <t>forced bi, woman/lb, cock sucking, noncon, snuff, anal fingering &amp; fisting</t>
  </si>
  <si>
    <t>Improv: White Girl Seduction</t>
  </si>
  <si>
    <t xml:space="preserve">I role-play as a girl who wants to lose her virginity to the listener who is older and opposite race. </t>
  </si>
  <si>
    <t>baiting, raceplay, n slur</t>
  </si>
  <si>
    <t>Improv: Doctor Corrupts Seduction</t>
  </si>
  <si>
    <t xml:space="preserve">I’m a doctor and you’re my new male nurse. You experience what depraved I get up to behind the closed door. </t>
  </si>
  <si>
    <t>accomplice, gagging sfx, ball gag sfx, spitting, slapping, all three holes, anal creampie</t>
  </si>
  <si>
    <t>Improv: Aggressive Older Cheerleader</t>
  </si>
  <si>
    <t xml:space="preserve">I’m a cheerleader way older than you and pull you under the bleachers to milk you into my mouth. </t>
  </si>
  <si>
    <t>older woman/lb, oral, blow job sfx, throat creampie</t>
  </si>
  <si>
    <t>Improv: Curious Brother</t>
  </si>
  <si>
    <t xml:space="preserve">The listener gets curious about his little sister’s private parts and gets a lesson from Mommy. </t>
  </si>
  <si>
    <t>siblings, incest, MDlb, creampie</t>
  </si>
  <si>
    <t>Improv: Showers With Daddy</t>
  </si>
  <si>
    <t xml:space="preserve">I take showers with my dad that start pretty innocent, but get more perverse after some times.  </t>
  </si>
  <si>
    <t>DDlg, incest, creampie</t>
  </si>
  <si>
    <t>Improv: Black Daddy Seduction</t>
  </si>
  <si>
    <t>My neighbor has been staring at me and I start developing a crush and decide to bait him into being my boyfriend.</t>
  </si>
  <si>
    <t>raceplay, baiting, creampie, breeding</t>
  </si>
  <si>
    <t>Improv: Weekend of Depravity</t>
  </si>
  <si>
    <t xml:space="preserve">You, me, our neighbor cutie, and cocaine. </t>
  </si>
  <si>
    <t>intoxication, consensual, all three holes, accomplice</t>
  </si>
  <si>
    <t>My own personal thoughts</t>
  </si>
  <si>
    <t>JOI For My King</t>
  </si>
  <si>
    <t>Trigger heavy, noncon, and dark</t>
  </si>
  <si>
    <t>noncon, snuff, accomplice</t>
  </si>
  <si>
    <t>Improv: Your Sister Accomplice</t>
  </si>
  <si>
    <t xml:space="preserve">The listener and his sister had sex years ago and never talked about it. She wants to have a talk now though and explain how it’s affected her life. </t>
  </si>
  <si>
    <t>incest, siblings, accomplice</t>
  </si>
  <si>
    <t>Script Fill: Best Boyfriend Ever</t>
  </si>
  <si>
    <t xml:space="preserve">A mother and daughter share the same boyfriend &amp; make plans for the future. </t>
  </si>
  <si>
    <t>misogyny, accomplice, submissive sluts, breeding</t>
  </si>
  <si>
    <t>Improv: Sneaking Sibling Sex</t>
  </si>
  <si>
    <t xml:space="preserve">Your little sister takes advantage of a sleepover with her friends to enjoy teasing you about your secret sibling incest. </t>
  </si>
  <si>
    <t>incest, sibling sex, risky sex, public sex, accomplice</t>
  </si>
  <si>
    <t>Improv: Black Daddy Public JOI</t>
  </si>
  <si>
    <t xml:space="preserve">For black daddies wanting a public park JOI with some raceplay sprinkled </t>
  </si>
  <si>
    <t>raceplay, no ap, JOI</t>
  </si>
  <si>
    <t>Improv: Black Daddy JOI Part 2</t>
  </si>
  <si>
    <t>I find black daddy in the park listening to my audio &amp; give him a live JOI</t>
  </si>
  <si>
    <t>Silent Call: Mom Turns Into Your Accomplice</t>
  </si>
  <si>
    <t>A mother/son story turns into an accomplice story</t>
  </si>
  <si>
    <t>accomplice, MDlb, incest, breeding</t>
  </si>
  <si>
    <t>Custom: TMZ- Female Perv Edition</t>
  </si>
  <si>
    <t xml:space="preserve">Imagine listening to celebrity news in a world where everything is legal. </t>
  </si>
  <si>
    <t>woman/lb</t>
  </si>
  <si>
    <t>Goddess Gay Corruption</t>
  </si>
  <si>
    <t xml:space="preserve">Dark corruption file where I make a permanent mark on my perv gooner. </t>
  </si>
  <si>
    <t>corruption, pervert encouragement, encouraged bi, noncon, extreme ap</t>
  </si>
  <si>
    <t>Make Love to Mommy (In Trance)</t>
  </si>
  <si>
    <t>A sensual Mommy Domme roleplay where I put you into trance and suggest we have sex for the first time</t>
  </si>
  <si>
    <t>implied ap, MDlb, incest, creampie, hypno</t>
  </si>
  <si>
    <t>Weekend of Depravity Pt 2</t>
  </si>
  <si>
    <t>intoxication, consensual, accomplice</t>
  </si>
  <si>
    <t>Cousin Accomplice</t>
  </si>
  <si>
    <t xml:space="preserve">Your cute little cousin brings you her BFF and she really gets into encouraging more and more depravity. </t>
  </si>
  <si>
    <t>accomplice, deepthroat, noncon, snuff, necro, cum countdown</t>
  </si>
  <si>
    <t>Mommy's Baby Shower Games</t>
  </si>
  <si>
    <t xml:space="preserve">The listener is my son who I have turned into a proper sissy girl, Mommy's princess. I'm pregnant and set up a baby shower filled with the most perverse baby shower games that use my sissy girl. </t>
  </si>
  <si>
    <t>sissification, MDlb, MDlg, scat, watersports, rimming, fisting, age regression, gangbang, female bukkake</t>
  </si>
  <si>
    <t>Party Girl Threesome</t>
  </si>
  <si>
    <t xml:space="preserve">We meet at a party and see a cute girl drunk and passed out. I set us up for the most fucked up threesome. </t>
  </si>
  <si>
    <t>no ap, noncon, unconscious drunk sex, breeding, threesome, oral, rimming</t>
  </si>
  <si>
    <t>Wake &amp; Edge AP Edition</t>
  </si>
  <si>
    <t xml:space="preserve">A good owned gooner wakes everday and edges for MY ultimate pleasure and control. </t>
  </si>
  <si>
    <t>edging, pervert encouragement, femdom, denial</t>
  </si>
  <si>
    <t>Session of Corruption</t>
  </si>
  <si>
    <t xml:space="preserve">A therapy session where I pull out your inner beast that's always hiding to eventually make it a permanent change and deepest dive into your depravity. </t>
  </si>
  <si>
    <t>pervert encouragement, corruption, affirmations, brainwashing</t>
  </si>
  <si>
    <t>Succubus Gay Corruption &amp; Loop</t>
  </si>
  <si>
    <t xml:space="preserve">I am a succubus who feeds off forcing men into extreme forced bi. </t>
  </si>
  <si>
    <t>forced bi, noncon, anal, corruption, succubus</t>
  </si>
  <si>
    <t>Weekend of Depravity Pt 3</t>
  </si>
  <si>
    <t>You, me, our neighbor cutie, her cousin, and cocaine</t>
  </si>
  <si>
    <t>BFF Female Pervs</t>
  </si>
  <si>
    <t xml:space="preserve">Me and the listener are married and I just befriended a lady who I think might be just like us; complete pervs! </t>
  </si>
  <si>
    <t>female pervs, corruption, accomplice, pervert encouragement</t>
  </si>
  <si>
    <t>Miss B Directs DDlg Session</t>
  </si>
  <si>
    <t xml:space="preserve">I direct a DDlg session, their first time together. </t>
  </si>
  <si>
    <t>DDlg, breeding, incest, watersports, CEI</t>
  </si>
  <si>
    <t>Silent Call: Grandma Accomplice</t>
  </si>
  <si>
    <t xml:space="preserve">I offer my ex bf a deal that involves my grand daughters and my drug addicted daughter. </t>
  </si>
  <si>
    <t>accomplice, noncon, corruption</t>
  </si>
  <si>
    <t>Public Sex w/Black Daddy</t>
  </si>
  <si>
    <t>I encourage black daddy to fuck me hard in public</t>
  </si>
  <si>
    <t>raceplay, no ap, public sex</t>
  </si>
  <si>
    <t>Perv Mom Makes It Real</t>
  </si>
  <si>
    <t xml:space="preserve">A teacher becomes obsessed with fantasies and brings those fantasies home. </t>
  </si>
  <si>
    <t>female perv, MDlb, extreme ap, rimming, breeding, double penetration</t>
  </si>
  <si>
    <t>Cuties Network Infomercials</t>
  </si>
  <si>
    <t xml:space="preserve">Imagine you fall asleep watching a 24/7 network streaming infomercials for the hottest porn series. </t>
  </si>
  <si>
    <t>pervert encouragement, gooning, alternate reality</t>
  </si>
  <si>
    <t xml:space="preserve"> Victim Turns Accomplice</t>
  </si>
  <si>
    <t xml:space="preserve">I roleplay as a former victim who enjoys encouraging her king. </t>
  </si>
  <si>
    <t>accomplice, noncon</t>
  </si>
  <si>
    <t>Mommy's Bedtime Games</t>
  </si>
  <si>
    <t xml:space="preserve">I roleplay as the listener's mother that introduces sis to our special Mom/son games for the first time. </t>
  </si>
  <si>
    <t>incest, MDlb, MDlg, sibling</t>
  </si>
  <si>
    <t>IG Accomplice</t>
  </si>
  <si>
    <t xml:space="preserve">I roleplay as your girlfriend who finds your fav IG girls on your phone and it turns me on how much of perv you are! </t>
  </si>
  <si>
    <t>accomplice, pervert encouragement, IG, NN</t>
  </si>
  <si>
    <t>Perverted Mind Control</t>
  </si>
  <si>
    <t xml:space="preserve">Patient 64 receives a file from me to help condition his mind to look at females in a different light. </t>
  </si>
  <si>
    <t>hypnotic, brainwash, pervert encouragement, misogyny, accomplice</t>
  </si>
  <si>
    <t>Collab: Teach Me Mommy</t>
  </si>
  <si>
    <t xml:space="preserve"> A mother gives her daughter lessons on how to be the best slut for Daddy</t>
  </si>
  <si>
    <t>MDlg, DDlg, Accomplice, incest, lesbian, blowjob sfx</t>
  </si>
  <si>
    <t>Collab: Accomplice VS Humiliation</t>
  </si>
  <si>
    <t xml:space="preserve">Experience two voices, one accomplice voice and one humiliating one, while you jerk your pervert cock. </t>
  </si>
  <si>
    <t>accomplice, humiliation, pervert encouragement, noncon, watersports</t>
  </si>
  <si>
    <t>Naughty Mommy Webcam Fun</t>
  </si>
  <si>
    <t xml:space="preserve">A mother has naughty fun on webcam with her son and daughter. </t>
  </si>
  <si>
    <t>MDlb, MDlg, accomplice, incest</t>
  </si>
  <si>
    <t>Apocalyptic Older Woman Scores</t>
  </si>
  <si>
    <t xml:space="preserve">A young adult finds shelter during a zombie apocalypse and finds her favorite type there by himself. </t>
  </si>
  <si>
    <t>older woman/lb, self degradation, blow job, body writing</t>
  </si>
  <si>
    <t>Pretty White Girl Taking</t>
  </si>
  <si>
    <t xml:space="preserve">Short &amp; quick pervert encouragement for a black man. </t>
  </si>
  <si>
    <t>raceplay, noncon, pervert encouragement</t>
  </si>
  <si>
    <t>Homo PMC Treatment</t>
  </si>
  <si>
    <t>Patient 472 has its first brainwashing and deepening session at the PMC</t>
  </si>
  <si>
    <t>encouraged male gay, hypnotic, sodomy, anal, noncon, psychological mindfuck</t>
  </si>
  <si>
    <t>Training Big Sis</t>
  </si>
  <si>
    <t xml:space="preserve">I help a big sister train her little sister to learn her place. </t>
  </si>
  <si>
    <t>accomplice, siblings, misogyny, degradation, lesbian sister, incest, DDlg</t>
  </si>
  <si>
    <t>Seducing Daddy</t>
  </si>
  <si>
    <t xml:space="preserve">What I would have done if I had seduced my daddy years ago. </t>
  </si>
  <si>
    <t>ddlg, internal dialogue, seduction</t>
  </si>
  <si>
    <t>Sweet Anal Mommy</t>
  </si>
  <si>
    <t xml:space="preserve">A mother is so obsessed with anal sex that she convinces her son it's totally normal for them to have. </t>
  </si>
  <si>
    <t>incest, anal, MDlb</t>
  </si>
  <si>
    <t>Triggered</t>
  </si>
  <si>
    <t xml:space="preserve">I am that encouraging voice in your head that encourages your naughty thoughts that were triggered while in public. </t>
  </si>
  <si>
    <t>pervert encouragement, foot fetish, oral, breeding mention</t>
  </si>
  <si>
    <t>Weekend of Depravity Pt 4</t>
  </si>
  <si>
    <t xml:space="preserve">The coke and two friends join us for more coke fueled depravity. </t>
  </si>
  <si>
    <t>accomplice, consensual, double team, facial, intoxication</t>
  </si>
  <si>
    <t>Wicked Pregnant Play</t>
  </si>
  <si>
    <t xml:space="preserve">A pregnant mother has a wicked gangbang. </t>
  </si>
  <si>
    <t>pregnant, abortion, gore, snuff, breeding, gangbang</t>
  </si>
  <si>
    <t>Naughty Nanny</t>
  </si>
  <si>
    <t xml:space="preserve">While at a pool party, a nanny gets naughty. </t>
  </si>
  <si>
    <t>older woman/lb, oral, public sex, babysitter</t>
  </si>
  <si>
    <t>Mean Mommy Finds Your Anal Porn</t>
  </si>
  <si>
    <t xml:space="preserve">Your mother finds your anal incest porn collection and decides to punish you...is it really punishment? </t>
  </si>
  <si>
    <t>incest, MDlb, anal, scat</t>
  </si>
  <si>
    <t>Mom Racially Berates</t>
  </si>
  <si>
    <t xml:space="preserve">A white mom finds a man that doesn't belong in her daughter's school parking lot. </t>
  </si>
  <si>
    <t>raceplay, foot fetish, humiliation</t>
  </si>
  <si>
    <t>Kink FM Confession</t>
  </si>
  <si>
    <t>It's Kink FM radio and you are tuning into Kinky Confessions. Tonight's confession is quite juicy and taboo.</t>
  </si>
  <si>
    <t>incest, accomplice, MDlg, watersports, breeding</t>
  </si>
  <si>
    <t>Foot Perv Humuliation &amp; Blasphemy</t>
  </si>
  <si>
    <t xml:space="preserve">I roleplay as a mother who berates a man for being in my all white church looking at feet. </t>
  </si>
  <si>
    <t>raceplay, blasphemy, humiliation, foot fetish, ap feet</t>
  </si>
  <si>
    <t>Cuckquean Reverse Accomplice Mommy</t>
  </si>
  <si>
    <t xml:space="preserve">A mother finds out her daughter is in love with daddy and wants to replace her as his daughter wife. </t>
  </si>
  <si>
    <t>cuckquean mommy, anal only, accomplice, light scat</t>
  </si>
  <si>
    <t>Juneteenth Celebration</t>
  </si>
  <si>
    <t>A quickie raceplay improv file</t>
  </si>
  <si>
    <t>raceplay, gender &amp; race traitor, mommy accomplice, noncon</t>
  </si>
  <si>
    <t>Pervy GFE: Sick Accomplice JOI</t>
  </si>
  <si>
    <t xml:space="preserve">Your girlfriend leaves a special audio for you to pull out your darkest side. </t>
  </si>
  <si>
    <t>accomplice, snuff, necro, noncon</t>
  </si>
  <si>
    <t>Birth of a P Mom Pt 2</t>
  </si>
  <si>
    <t xml:space="preserve">The newly formed perv mom expresses her love of perversions and love of her son and plans for the future. </t>
  </si>
  <si>
    <t>incest, sibling, MDlb, MDlg, beast, misogyny</t>
  </si>
  <si>
    <t>Misogyny Mommy Bedtime Lessons</t>
  </si>
  <si>
    <t xml:space="preserve">I found you looking a porn magazine which turns out is for "school," so I use this time to instill some valuable life lessons of misogyny into my own son. </t>
  </si>
  <si>
    <t>MDlb, misogyny, noncon</t>
  </si>
  <si>
    <t>Coke Girlfriend Corruption</t>
  </si>
  <si>
    <t xml:space="preserve">Your gf reveals she likes nose candy every now and then and talks you into trying it for the first time while also pulling out your depraved side. </t>
  </si>
  <si>
    <t>pervy gfe, accomplice, intox</t>
  </si>
  <si>
    <t>Gay Raceplay JOI</t>
  </si>
  <si>
    <t>Just an encouraged bi, raceplay JOI</t>
  </si>
  <si>
    <t>raceplay, encouraged bi, JOI</t>
  </si>
  <si>
    <t>Dad &amp; Daughter Compromise</t>
  </si>
  <si>
    <t xml:space="preserve">To avoid a certain punishment, a daughter agrees to have forbidden sex. </t>
  </si>
  <si>
    <t>incest, DDlg, consensual, oral, missionary, creampie</t>
  </si>
  <si>
    <t>Bitch Mom's Punishment</t>
  </si>
  <si>
    <t xml:space="preserve">A mother and her son got into an argument and this bitch mom gets put in her place. </t>
  </si>
  <si>
    <t>MDlb, incest, breeding, noncon</t>
  </si>
  <si>
    <t>Sneaky Girl Crush</t>
  </si>
  <si>
    <t xml:space="preserve">The inner voice type of video about a man with crush on girl and how he takes advantage of having him stay at his home. </t>
  </si>
  <si>
    <t>pervert encouragement, slow burn, light intox</t>
  </si>
  <si>
    <t>Deadly Mom Experience</t>
  </si>
  <si>
    <t xml:space="preserve">A mother experiences a traumatic event, yet she finds herself drawn into the depravity. </t>
  </si>
  <si>
    <t>snuff, noncon, accomplice</t>
  </si>
  <si>
    <t>Trippy &amp; Perverted Club Experience</t>
  </si>
  <si>
    <t xml:space="preserve">A father visits a hypno club for the first time and I grab hold of him and send him into a drug induced dive into depravity. </t>
  </si>
  <si>
    <t>hypno, DDlg, accomplice, incest, femdom</t>
  </si>
  <si>
    <t>Encouraged Bi Popper Pervert JOI</t>
  </si>
  <si>
    <t>Hypnotic file encouraging you to goon to lb and sniff poppers.</t>
  </si>
  <si>
    <t>hypno, encouraged bi, JOI. femdom, intox, poppers</t>
  </si>
  <si>
    <t>The Neighbor Part 1</t>
  </si>
  <si>
    <t>Slow burn account of a man noticing his neighbor for the first time</t>
  </si>
  <si>
    <t>slow burn, body descriptions, calm before the storm</t>
  </si>
  <si>
    <t>Raising Boys to Men</t>
  </si>
  <si>
    <t xml:space="preserve">Tune into a mother's podcast that is very passionate about ensring her sons are taught to be misogynistic men in their future. </t>
  </si>
  <si>
    <t>Babysitter Does It Again</t>
  </si>
  <si>
    <t xml:space="preserve">A babysitter spends her night claiming her boyfriend as hers. </t>
  </si>
  <si>
    <t>older woman/lb, oral, breeding, doggy style</t>
  </si>
  <si>
    <t>BFF Female Pervs Pt 2</t>
  </si>
  <si>
    <t xml:space="preserve">Our friend comes over again to enjoy a night of depravity together. </t>
  </si>
  <si>
    <t>MDlb, intox, breeding, threesome, pervert women, breastfeeding</t>
  </si>
  <si>
    <t>Flat &amp; Growing JOI</t>
  </si>
  <si>
    <t xml:space="preserve">A JOI to accompany you while looking at your favorite social media. </t>
  </si>
  <si>
    <t>pervert encouragement, JOI, social media, tik tok, instagram</t>
  </si>
  <si>
    <t>Incest Baby Shower</t>
  </si>
  <si>
    <t xml:space="preserve">Two baby showers are thrown within a close, uniquely sexual family. </t>
  </si>
  <si>
    <t>incest, DDlg, accomplice, breeding, MDlb, fisting, strap on</t>
  </si>
  <si>
    <t>Wife's Naughty Roleplay</t>
  </si>
  <si>
    <t xml:space="preserve">Your my husband and we're staying in my childhood home which brings back memories of being in hs. I initiate some naughty roleplays. </t>
  </si>
  <si>
    <t>pervy wife experience, teacher/student, DDlg, oral, creampies</t>
  </si>
  <si>
    <t>Pervert Mistress Brainwash</t>
  </si>
  <si>
    <t xml:space="preserve">I want the listener to prove their devotion to me as a slave, pumped with corruption, dark porn, and encouraged bi. </t>
  </si>
  <si>
    <t>hypno, encouraged bi, corruption, mistress/slave, gooning, pervert encouragement, edging</t>
  </si>
  <si>
    <t>Sweet Mommy Bedtime ASMR</t>
  </si>
  <si>
    <t>My sweet boy comes into my bed in the middle of night and I help soothe him to sleep</t>
  </si>
  <si>
    <t>ASMR, MDlb</t>
  </si>
  <si>
    <t>Do It or Else</t>
  </si>
  <si>
    <t xml:space="preserve">Hypnotic file from a perv mistress to her perv slave. </t>
  </si>
  <si>
    <t>hypno, blackmail, encouraged bi, corruption, binaural</t>
  </si>
  <si>
    <t>The Neighbor Part 2</t>
  </si>
  <si>
    <t xml:space="preserve">Part 2 is more of a voice in your head through a slow burn account of the listener starting his obsession of his cute neighbor. </t>
  </si>
  <si>
    <t>slow burn, panty sniffing</t>
  </si>
  <si>
    <t>The Annual Misogyny Awards</t>
  </si>
  <si>
    <t xml:space="preserve">I am the host of the Annual Misogyny Awards where the top noncon videos are submitted for a chance to win 1st place. </t>
  </si>
  <si>
    <t>noncon, misogyny, sfx, accomplice, breeding, watersports, extreme</t>
  </si>
  <si>
    <t>All Girls Misogyny Academy</t>
  </si>
  <si>
    <t xml:space="preserve">I'm a principal and invite a new student, our first male student who becomes the center of everyone's universe. </t>
  </si>
  <si>
    <t>misogyny, gender traitor, slut training, submissive sluts, degradation, older woman/lb</t>
  </si>
  <si>
    <t>Split Personality Mother</t>
  </si>
  <si>
    <t xml:space="preserve">I'm your mother and sit you down to give you "the talk" but there's two personalities that come through: a soft, respectful mommy and misogynistic mommy. </t>
  </si>
  <si>
    <t>misogyny, MDlb, degradation, gender traitor, noncon</t>
  </si>
  <si>
    <t>Deadly Threesome</t>
  </si>
  <si>
    <t xml:space="preserve">Let's go pick up a hot girl from the bar and give her the last good time of her life. </t>
  </si>
  <si>
    <t>snuff, accomplice, forced intox, sfx, choking, noncon, throat fucking, creampie</t>
  </si>
  <si>
    <t>Goon Mommy's Anal Corruption</t>
  </si>
  <si>
    <t xml:space="preserve">Mommy Domme has discovered your filthy porn history and wants to make you worse. You wake up with her tits in your face, her encouraging you to edge and goon to her body, eventually pushing her ass so you can masturbate into her anally. </t>
  </si>
  <si>
    <t xml:space="preserve"> non ageplay, mommy domme, tit worship, ass worship, rimming, gooning, humiliation, watersports</t>
  </si>
  <si>
    <t>Mommy Takes Control of Beta</t>
  </si>
  <si>
    <t xml:space="preserve">I've noticed and kept it a secret that I know how much your jerk off to porn. I tapped into your computer to keep a close eye on your habits. Today I noticed you haven't logged in and watched porn so I decide to call you on my lunch break and reveal everything and encourage your addiction. To keep you ultimately controlled and dependent on me and porn, I show you how much of a beta pornosexual you are and should remain that way forever. </t>
  </si>
  <si>
    <t>non ageplay, MDlb, incest, humiliation, beta humiliation, pornosexual, gooner, JOI, cum countdown</t>
  </si>
  <si>
    <t>Taboo Porn Hypnotic Encouragement</t>
  </si>
  <si>
    <t xml:space="preserve">Hypnotic audio file all about encouraging you to pump and cum to taboo porn. </t>
  </si>
  <si>
    <t>pervert encouragement, hypno, uncle/niece, porn</t>
  </si>
  <si>
    <t>Beast Whore</t>
  </si>
  <si>
    <t xml:space="preserve">I confess my love for beast porn and then you hear me making it real life. </t>
  </si>
  <si>
    <t>beast, breeding, oral, handjob, bark/oink/neigh, creampie</t>
  </si>
  <si>
    <t>Basic White Mom Feet Humiliation</t>
  </si>
  <si>
    <t xml:space="preserve">A mom is excited for all things pumpkin spice at her local Starbucks until she noticed a man acting sus in his car in the parking lot. She berates him and humiliates his dirty deeds. </t>
  </si>
  <si>
    <t>Pervy Family Streaming Pt 2</t>
  </si>
  <si>
    <t xml:space="preserve">A mom live streams her family's vacation, chock full of perversions and exhibitionism. </t>
  </si>
  <si>
    <t>incest, beast, encouraged bi, public play, watersports, bbc</t>
  </si>
  <si>
    <t>The Neighbor Pt 3</t>
  </si>
  <si>
    <t xml:space="preserve">Part 3 of the slow burn, full of voyeurism and girl on girl filth. </t>
  </si>
  <si>
    <t>slow burn, moaning sfx, lesbian play, fingering, voyuer</t>
  </si>
  <si>
    <t>Do It Counseling Podcast</t>
  </si>
  <si>
    <t xml:space="preserve">A podcast created towards married couples to help them cross that line and do it. </t>
  </si>
  <si>
    <t>pervert encouragement, therapist, podcast, watersports, couples, lesbian</t>
  </si>
  <si>
    <t>Submissive Mommy Homework Lessons</t>
  </si>
  <si>
    <t xml:space="preserve">A son slyly creates his own homework lessons for his mother to help him with that set him up for a completely submissive slut Mommy. </t>
  </si>
  <si>
    <t>misogyny, MDlb, degradation, blow job sfx, breeding, face slapping, tit slapping</t>
  </si>
  <si>
    <t>Pervert Encouraging Wife Hypno</t>
  </si>
  <si>
    <t xml:space="preserve">Filthy, enabling wife hypnotically encourages utter depravity. </t>
  </si>
  <si>
    <t>hypno, sfx, binaural, pervert encouragement, perv gooning, aheago face sounds, pervy wife experience, extreme ap</t>
  </si>
  <si>
    <t>Sleepover Jerk</t>
  </si>
  <si>
    <t xml:space="preserve">I discover you jerking off while we're at a sleepover and encourage you to keep going with me whispering in your ear. </t>
  </si>
  <si>
    <t>pervert encouragement, accomplice, pervy girlfriend experience, whispers, ASMR, noncon, breeding</t>
  </si>
  <si>
    <t>Perverted Encouragement JOI</t>
  </si>
  <si>
    <t xml:space="preserve">I roleplay as your girlfriend on the phone who is sending you naughty pics to jerk off to. </t>
  </si>
  <si>
    <t>JOI, pervert encouragement, noncon, accomplice, cum countdown</t>
  </si>
  <si>
    <t>Snatch &amp; Play</t>
  </si>
  <si>
    <t xml:space="preserve">You're out at a park and become overwhelmed enough to snatch her and use her in the public bathroom </t>
  </si>
  <si>
    <t>toe sucking, watersports, noncon, facial, creampie</t>
  </si>
  <si>
    <t>Pervy GFE Halloween Edition</t>
  </si>
  <si>
    <t xml:space="preserve">I'm your girlfriend and we're at home on Halloween night, playing with each other. We get interrupted multiple times by trick or treaters and I use this to our advantage. </t>
  </si>
  <si>
    <t>pervy gfe, accomplice, pervert encouragement, noncon, halloween, trick or treat</t>
  </si>
  <si>
    <t>Horny Mommy Grocery Shopping</t>
  </si>
  <si>
    <t>Mommy takes you grocery shopping but she can't keep her hands off of you.</t>
  </si>
  <si>
    <t>MDlb, public sex, oral, sfx, creampie, consensual</t>
  </si>
  <si>
    <t>Filthy and Depraved JOI</t>
  </si>
  <si>
    <t>So you like to hit up the social media streets, pervert? Here's a JOI for you.</t>
  </si>
  <si>
    <t>pervert encouragement, goon, JOI, social media, corruption</t>
  </si>
  <si>
    <t>Naughty Neighbors Pt 4</t>
  </si>
  <si>
    <t>A mother gives her daughter a valuable lesson while coaching her through making captions of her sister.</t>
  </si>
  <si>
    <t>misogyny, gender traitor, incest, DDlg, degradation, submissive sluts</t>
  </si>
  <si>
    <t>Maisie Moons's DDlg Vault</t>
  </si>
  <si>
    <t>One time purchase: $30</t>
  </si>
  <si>
    <t>Maisie Moon's Accomplice Vault</t>
  </si>
  <si>
    <t>One time purchase: $50</t>
  </si>
  <si>
    <t>Maisie Moon's MDlb Vault</t>
  </si>
  <si>
    <t>One time purchase: $80</t>
  </si>
  <si>
    <t>Maisie Moon's Snuff Vault</t>
  </si>
  <si>
    <t>One time purchase: $40</t>
  </si>
  <si>
    <t>Maisie Moon's Incest Vault</t>
  </si>
  <si>
    <t>Maisie Moon's Pervert Encouragement Vault</t>
  </si>
  <si>
    <t>Maisie Moon's Beast/Zoo Vault</t>
  </si>
  <si>
    <t>One time purchase: $15</t>
  </si>
  <si>
    <t>Maisie Moon's Raceplay Vault</t>
  </si>
  <si>
    <t>One time purchase: $20</t>
  </si>
  <si>
    <t>Maisie Moon's Extreme AP Vault</t>
  </si>
  <si>
    <t>One time purchase: $25</t>
  </si>
  <si>
    <t>Maise Moon's Futa Vault</t>
  </si>
  <si>
    <t>One time purchase: $10</t>
  </si>
  <si>
    <t>Maisie Moon's AP Feet Vault</t>
  </si>
  <si>
    <t>One time purchase: $5</t>
  </si>
  <si>
    <t>Maisie Moon's Hypno Vault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</si>
</sst>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
  </numFmts>
  <fonts count="19">
    <font>
      <sz val="10.0"/>
      <color rgb="FF000000"/>
      <name val="Arial"/>
      <scheme val="minor"/>
    </font>
    <font>
      <sz val="31.0"/>
      <color theme="1"/>
      <name val="Amatic SC"/>
    </font>
    <font>
      <i/>
      <color theme="1"/>
      <name val="Montserrat"/>
    </font>
    <font>
      <color rgb="FFFF0000"/>
      <name val="Montserrat"/>
    </font>
    <font>
      <b/>
      <color theme="1"/>
      <name val="Montserrat"/>
    </font>
    <font>
      <sz val="8.0"/>
      <color theme="1"/>
      <name val="Montserrat"/>
    </font>
    <font>
      <b/>
      <sz val="21.0"/>
      <color theme="1"/>
      <name val="Montserrat"/>
    </font>
    <font>
      <color theme="1"/>
      <name val="Arial"/>
      <scheme val="minor"/>
    </font>
    <font>
      <color rgb="FFFF0000"/>
      <name val="Arial"/>
      <scheme val="minor"/>
    </font>
    <font>
      <b/>
      <sz val="13.0"/>
      <color rgb="FF000000"/>
      <name val="Montserrat"/>
    </font>
    <font>
      <sz val="7.0"/>
      <color rgb="FF000000"/>
      <name val="Montserrat"/>
    </font>
    <font>
      <sz val="8.0"/>
      <color rgb="FF000000"/>
      <name val="Montserrat"/>
    </font>
    <font>
      <sz val="6.0"/>
      <color rgb="FF000000"/>
      <name val="Montserrat"/>
    </font>
    <font>
      <sz val="7.0"/>
      <color theme="1"/>
      <name val="Montserrat"/>
    </font>
    <font>
      <sz val="7.0"/>
      <color theme="1"/>
      <name val="Arial"/>
      <scheme val="minor"/>
    </font>
    <font>
      <b/>
      <sz val="24.0"/>
      <color theme="1"/>
      <name val="Montserrat"/>
    </font>
    <font>
      <sz val="12.0"/>
      <color theme="1"/>
      <name val="Arial"/>
      <scheme val="minor"/>
    </font>
    <font>
      <sz val="9.0"/>
      <color rgb="FF000000"/>
      <name val="&quot;Google Sans Mono&quot;"/>
    </font>
    <font>
      <sz val="13.0"/>
      <color theme="1"/>
      <name val="Arial"/>
      <scheme val="minor"/>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3">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3" numFmtId="0" xfId="0" applyAlignment="1" applyFont="1">
      <alignment readingOrder="0"/>
    </xf>
    <xf borderId="0" fillId="0" fontId="4" numFmtId="0" xfId="0" applyAlignment="1" applyFont="1">
      <alignment readingOrder="0"/>
    </xf>
    <xf borderId="0" fillId="0" fontId="5" numFmtId="0" xfId="0" applyAlignment="1" applyFont="1">
      <alignment horizontal="center" readingOrder="0" vertical="center"/>
    </xf>
    <xf borderId="0" fillId="0" fontId="5" numFmtId="0" xfId="0" applyFont="1"/>
    <xf borderId="0" fillId="0" fontId="5" numFmtId="0" xfId="0" applyAlignment="1" applyFont="1">
      <alignment readingOrder="0" shrinkToFit="0" wrapText="1"/>
    </xf>
    <xf borderId="0" fillId="0" fontId="5" numFmtId="0" xfId="0" applyAlignment="1" applyFont="1">
      <alignment horizontal="center" vertical="center"/>
    </xf>
    <xf borderId="0" fillId="0" fontId="5" numFmtId="0" xfId="0" applyAlignment="1" applyFont="1">
      <alignment shrinkToFit="0" wrapText="1"/>
    </xf>
    <xf borderId="0" fillId="0" fontId="5" numFmtId="0" xfId="0" applyAlignment="1" applyFont="1">
      <alignment horizontal="center" readingOrder="0" shrinkToFit="0" vertical="center" wrapText="1"/>
    </xf>
    <xf borderId="0" fillId="0" fontId="6" numFmtId="0" xfId="0" applyAlignment="1" applyFont="1">
      <alignment readingOrder="0"/>
    </xf>
    <xf borderId="0" fillId="0" fontId="7" numFmtId="0" xfId="0" applyAlignment="1" applyFont="1">
      <alignment readingOrder="0"/>
    </xf>
    <xf borderId="0" fillId="0" fontId="8" numFmtId="0" xfId="0" applyAlignment="1" applyFont="1">
      <alignment readingOrder="0"/>
    </xf>
    <xf borderId="0" fillId="0" fontId="9" numFmtId="0" xfId="0" applyAlignment="1" applyFont="1">
      <alignment horizontal="center" readingOrder="0" shrinkToFit="0" wrapText="1"/>
    </xf>
    <xf borderId="1" fillId="0" fontId="9" numFmtId="0" xfId="0" applyAlignment="1" applyBorder="1" applyFont="1">
      <alignment horizontal="center" readingOrder="0" shrinkToFit="0" wrapText="1"/>
    </xf>
    <xf borderId="1" fillId="0" fontId="10" numFmtId="0" xfId="0" applyAlignment="1" applyBorder="1" applyFont="1">
      <alignment horizontal="center" readingOrder="0" shrinkToFit="0" vertical="center" wrapText="1"/>
    </xf>
    <xf borderId="1" fillId="0" fontId="10" numFmtId="164" xfId="0" applyAlignment="1" applyBorder="1" applyFont="1" applyNumberFormat="1">
      <alignment horizontal="center" readingOrder="0" shrinkToFit="0" vertical="center" wrapText="1"/>
    </xf>
    <xf borderId="1" fillId="0" fontId="10" numFmtId="0" xfId="0" applyAlignment="1" applyBorder="1" applyFont="1">
      <alignment horizontal="center" readingOrder="0" shrinkToFit="0" wrapText="1"/>
    </xf>
    <xf borderId="1" fillId="0" fontId="11" numFmtId="0" xfId="0" applyAlignment="1" applyBorder="1" applyFont="1">
      <alignment horizontal="center" readingOrder="0" shrinkToFit="0" wrapText="1"/>
    </xf>
    <xf borderId="1" fillId="0" fontId="12" numFmtId="0" xfId="0" applyAlignment="1" applyBorder="1" applyFont="1">
      <alignment horizontal="center" readingOrder="0" shrinkToFit="0" wrapText="1"/>
    </xf>
    <xf borderId="0" fillId="2" fontId="10" numFmtId="164" xfId="0" applyAlignment="1" applyFill="1" applyFont="1" applyNumberFormat="1">
      <alignment horizontal="center" readingOrder="0"/>
    </xf>
    <xf borderId="0" fillId="2" fontId="11" numFmtId="0" xfId="0" applyAlignment="1" applyFont="1">
      <alignment readingOrder="0" shrinkToFit="0" wrapText="1"/>
    </xf>
    <xf borderId="1" fillId="0" fontId="11" numFmtId="164" xfId="0" applyAlignment="1" applyBorder="1" applyFont="1" applyNumberFormat="1">
      <alignment horizontal="center" readingOrder="0" shrinkToFit="0" vertical="center" wrapText="1"/>
    </xf>
    <xf borderId="1" fillId="0" fontId="11" numFmtId="0" xfId="0" applyAlignment="1" applyBorder="1" applyFont="1">
      <alignment horizontal="center" readingOrder="0" shrinkToFit="0" vertical="center" wrapText="1"/>
    </xf>
    <xf borderId="1" fillId="0" fontId="13" numFmtId="164" xfId="0" applyAlignment="1" applyBorder="1" applyFont="1" applyNumberFormat="1">
      <alignment horizontal="center" readingOrder="0" shrinkToFit="0" vertical="center" wrapText="1"/>
    </xf>
    <xf borderId="1" fillId="0" fontId="13" numFmtId="0" xfId="0" applyAlignment="1" applyBorder="1" applyFont="1">
      <alignment horizontal="center" readingOrder="0" shrinkToFit="0" vertical="center" wrapText="1"/>
    </xf>
    <xf borderId="0" fillId="0" fontId="7" numFmtId="0" xfId="0" applyAlignment="1" applyFont="1">
      <alignment horizontal="center" shrinkToFit="0" vertical="center" wrapText="1"/>
    </xf>
    <xf borderId="0" fillId="0" fontId="13" numFmtId="0" xfId="0" applyAlignment="1" applyFont="1">
      <alignment horizontal="center" shrinkToFit="0" vertical="center" wrapText="1"/>
    </xf>
    <xf borderId="1" fillId="0" fontId="13" numFmtId="0" xfId="0" applyAlignment="1" applyBorder="1" applyFont="1">
      <alignment horizontal="center" readingOrder="0" shrinkToFit="0" vertical="center" wrapText="1"/>
    </xf>
    <xf borderId="0" fillId="0" fontId="13" numFmtId="0" xfId="0" applyAlignment="1" applyFont="1">
      <alignment horizontal="center" readingOrder="0" shrinkToFit="0" wrapText="1"/>
    </xf>
    <xf borderId="1" fillId="0" fontId="13" numFmtId="0" xfId="0" applyAlignment="1" applyBorder="1" applyFont="1">
      <alignment horizontal="center" readingOrder="0" shrinkToFit="0" wrapText="1"/>
    </xf>
    <xf borderId="1" fillId="0" fontId="13" numFmtId="164" xfId="0" applyAlignment="1" applyBorder="1" applyFont="1" applyNumberFormat="1">
      <alignment horizontal="center" readingOrder="0" shrinkToFit="0" wrapText="1"/>
    </xf>
    <xf borderId="1" fillId="0" fontId="13" numFmtId="0" xfId="0" applyAlignment="1" applyBorder="1" applyFont="1">
      <alignment horizontal="center" readingOrder="0"/>
    </xf>
    <xf borderId="1" fillId="0" fontId="13" numFmtId="164" xfId="0" applyAlignment="1" applyBorder="1" applyFont="1" applyNumberFormat="1">
      <alignment horizontal="center" readingOrder="0"/>
    </xf>
    <xf borderId="0" fillId="0" fontId="14" numFmtId="164" xfId="0" applyAlignment="1" applyFont="1" applyNumberFormat="1">
      <alignment horizontal="center" readingOrder="0"/>
    </xf>
    <xf borderId="0" fillId="0" fontId="13" numFmtId="0" xfId="0" applyAlignment="1" applyFont="1">
      <alignment horizontal="center" readingOrder="0" shrinkToFit="0" vertical="center" wrapText="1"/>
    </xf>
    <xf borderId="1" fillId="0" fontId="13" numFmtId="0" xfId="0" applyAlignment="1" applyBorder="1" applyFont="1">
      <alignment horizontal="center" shrinkToFit="0" vertical="center" wrapText="1"/>
    </xf>
    <xf borderId="1" fillId="0" fontId="5" numFmtId="0" xfId="0" applyAlignment="1" applyBorder="1" applyFont="1">
      <alignment horizontal="center" readingOrder="0" shrinkToFit="0" vertical="center" wrapText="1"/>
    </xf>
    <xf borderId="1" fillId="0" fontId="5" numFmtId="164" xfId="0" applyAlignment="1" applyBorder="1" applyFont="1" applyNumberFormat="1">
      <alignment horizontal="center" readingOrder="0" shrinkToFit="0" vertical="center" wrapText="1"/>
    </xf>
    <xf borderId="0" fillId="0" fontId="13" numFmtId="0" xfId="0" applyAlignment="1" applyFont="1">
      <alignment readingOrder="0" shrinkToFit="0" vertical="center" wrapText="1"/>
    </xf>
    <xf borderId="1" fillId="0" fontId="5" numFmtId="0" xfId="0" applyAlignment="1" applyBorder="1" applyFont="1">
      <alignment horizontal="center" readingOrder="0" shrinkToFit="0" wrapText="1"/>
    </xf>
    <xf borderId="1" fillId="0" fontId="5" numFmtId="0" xfId="0" applyAlignment="1" applyBorder="1" applyFont="1">
      <alignment horizontal="center" readingOrder="0"/>
    </xf>
    <xf borderId="1" fillId="0" fontId="5" numFmtId="0" xfId="0" applyAlignment="1" applyBorder="1" applyFont="1">
      <alignment horizontal="center" readingOrder="0" vertical="center"/>
    </xf>
    <xf borderId="1" fillId="0" fontId="5" numFmtId="0" xfId="0" applyAlignment="1" applyBorder="1" applyFont="1">
      <alignment horizontal="left" readingOrder="0" shrinkToFit="0" vertical="center" wrapText="1"/>
    </xf>
    <xf borderId="0" fillId="0" fontId="7" numFmtId="0" xfId="0" applyAlignment="1" applyFont="1">
      <alignment horizontal="left" vertical="center"/>
    </xf>
    <xf borderId="0" fillId="0" fontId="15" numFmtId="0" xfId="0" applyAlignment="1" applyFont="1">
      <alignment horizontal="left" readingOrder="0" vertical="center"/>
    </xf>
    <xf borderId="0" fillId="0" fontId="7" numFmtId="0" xfId="0" applyAlignment="1" applyFont="1">
      <alignment horizontal="left" readingOrder="0" vertical="center"/>
    </xf>
    <xf borderId="0" fillId="0" fontId="16" numFmtId="0" xfId="0" applyAlignment="1" applyFont="1">
      <alignment readingOrder="0"/>
    </xf>
    <xf borderId="1" fillId="0" fontId="9" numFmtId="0" xfId="0" applyAlignment="1" applyBorder="1" applyFont="1">
      <alignment horizontal="center" readingOrder="0" shrinkToFit="0" vertical="center" wrapText="1"/>
    </xf>
    <xf borderId="0" fillId="2" fontId="17" numFmtId="0" xfId="0" applyAlignment="1" applyFont="1">
      <alignment horizontal="center" vertical="center"/>
    </xf>
    <xf borderId="0" fillId="0" fontId="7" numFmtId="164" xfId="0" applyAlignment="1" applyFont="1" applyNumberFormat="1">
      <alignment horizontal="center" vertical="center"/>
    </xf>
    <xf borderId="0" fillId="0" fontId="7" numFmtId="0" xfId="0" applyAlignment="1" applyFont="1">
      <alignment horizontal="center" vertical="center"/>
    </xf>
    <xf borderId="0" fillId="0" fontId="15" numFmtId="0" xfId="0" applyAlignment="1" applyFont="1">
      <alignment readingOrder="0"/>
    </xf>
    <xf borderId="0" fillId="0" fontId="7" numFmtId="0" xfId="0" applyAlignment="1" applyFont="1">
      <alignment horizontal="center"/>
    </xf>
    <xf borderId="0" fillId="0" fontId="18" numFmtId="0" xfId="0" applyAlignment="1" applyFont="1">
      <alignment readingOrder="0"/>
    </xf>
    <xf borderId="0" fillId="2" fontId="17" numFmtId="0" xfId="0" applyAlignment="1" applyFont="1">
      <alignment horizontal="center" shrinkToFit="0" vertical="center" wrapText="1"/>
    </xf>
    <xf borderId="0" fillId="0" fontId="7" numFmtId="164" xfId="0" applyAlignment="1" applyFont="1" applyNumberFormat="1">
      <alignment horizontal="center" shrinkToFit="0" vertical="center" wrapText="1"/>
    </xf>
    <xf borderId="0" fillId="0" fontId="7" numFmtId="0" xfId="0" applyAlignment="1" applyFont="1">
      <alignment horizontal="left"/>
    </xf>
    <xf borderId="0" fillId="0" fontId="7" numFmtId="0" xfId="0" applyAlignment="1" applyFont="1">
      <alignment horizontal="center" shrinkToFit="0" wrapText="1"/>
    </xf>
    <xf borderId="0" fillId="0" fontId="7" numFmtId="0" xfId="0" applyFont="1"/>
    <xf borderId="0" fillId="0" fontId="7" numFmtId="164" xfId="0" applyFont="1" applyNumberFormat="1"/>
    <xf borderId="0" fillId="0" fontId="7"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733425</xdr:colOff>
      <xdr:row>3</xdr:row>
      <xdr:rowOff>76200</xdr:rowOff>
    </xdr:from>
    <xdr:ext cx="3486150" cy="5629275"/>
    <xdr:grpSp>
      <xdr:nvGrpSpPr>
        <xdr:cNvPr id="2" name="Shape 2" title="Drawing"/>
        <xdr:cNvGrpSpPr/>
      </xdr:nvGrpSpPr>
      <xdr:grpSpPr>
        <a:xfrm>
          <a:off x="1831325" y="970700"/>
          <a:ext cx="4122900" cy="4203000"/>
          <a:chOff x="1831325" y="970700"/>
          <a:chExt cx="4122900" cy="4203000"/>
        </a:xfrm>
      </xdr:grpSpPr>
      <xdr:cxnSp>
        <xdr:nvCxnSpPr>
          <xdr:cNvPr id="3" name="Shape 3"/>
          <xdr:cNvCxnSpPr/>
        </xdr:nvCxnSpPr>
        <xdr:spPr>
          <a:xfrm flipH="1" rot="10800000">
            <a:off x="1831325" y="970700"/>
            <a:ext cx="4122900" cy="9900"/>
          </a:xfrm>
          <a:prstGeom prst="straightConnector1">
            <a:avLst/>
          </a:prstGeom>
          <a:noFill/>
          <a:ln cap="flat" cmpd="sng" w="28575">
            <a:solidFill>
              <a:srgbClr val="FF0000"/>
            </a:solidFill>
            <a:prstDash val="solid"/>
            <a:round/>
            <a:headEnd len="med" w="med" type="none"/>
            <a:tailEnd len="med" w="med" type="none"/>
          </a:ln>
        </xdr:spPr>
      </xdr:cxnSp>
      <xdr:cxnSp>
        <xdr:nvCxnSpPr>
          <xdr:cNvPr id="4" name="Shape 4"/>
          <xdr:cNvCxnSpPr/>
        </xdr:nvCxnSpPr>
        <xdr:spPr>
          <a:xfrm flipH="1">
            <a:off x="5934125" y="970700"/>
            <a:ext cx="20100" cy="4203000"/>
          </a:xfrm>
          <a:prstGeom prst="straightConnector1">
            <a:avLst/>
          </a:prstGeom>
          <a:noFill/>
          <a:ln cap="flat" cmpd="sng" w="28575">
            <a:solidFill>
              <a:srgbClr val="FF0000"/>
            </a:solidFill>
            <a:prstDash val="solid"/>
            <a:round/>
            <a:headEnd len="med" w="med" type="none"/>
            <a:tailEnd len="med" w="med" type="triangle"/>
          </a:ln>
        </xdr:spPr>
      </xdr:cxnSp>
    </xdr:grp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6.75"/>
    <col customWidth="1" min="3" max="3" width="25.88"/>
  </cols>
  <sheetData>
    <row r="1">
      <c r="A1" s="1" t="s">
        <v>0</v>
      </c>
    </row>
    <row r="2">
      <c r="A2" s="2" t="s">
        <v>1</v>
      </c>
    </row>
    <row r="4">
      <c r="A4" s="3" t="s">
        <v>2</v>
      </c>
    </row>
    <row r="6">
      <c r="A6" s="4" t="s">
        <v>3</v>
      </c>
      <c r="C6" s="4" t="s">
        <v>4</v>
      </c>
    </row>
    <row r="7">
      <c r="A7" s="5" t="s">
        <v>5</v>
      </c>
      <c r="B7" s="6"/>
      <c r="C7" s="7" t="s">
        <v>6</v>
      </c>
    </row>
    <row r="8">
      <c r="A8" s="8"/>
      <c r="B8" s="6"/>
      <c r="C8" s="9"/>
    </row>
    <row r="9">
      <c r="A9" s="5" t="s">
        <v>7</v>
      </c>
      <c r="B9" s="6"/>
      <c r="C9" s="7" t="s">
        <v>8</v>
      </c>
    </row>
    <row r="10">
      <c r="A10" s="8"/>
      <c r="B10" s="6"/>
      <c r="C10" s="9"/>
    </row>
    <row r="11">
      <c r="A11" s="5" t="s">
        <v>9</v>
      </c>
      <c r="B11" s="6"/>
      <c r="C11" s="7" t="s">
        <v>10</v>
      </c>
    </row>
    <row r="12">
      <c r="A12" s="8"/>
      <c r="B12" s="6"/>
      <c r="C12" s="9"/>
    </row>
    <row r="13">
      <c r="A13" s="5" t="s">
        <v>11</v>
      </c>
      <c r="B13" s="6"/>
      <c r="C13" s="7" t="s">
        <v>12</v>
      </c>
    </row>
    <row r="14">
      <c r="A14" s="8"/>
      <c r="B14" s="6"/>
      <c r="C14" s="9"/>
    </row>
    <row r="15">
      <c r="A15" s="5" t="s">
        <v>13</v>
      </c>
      <c r="B15" s="6"/>
      <c r="C15" s="7" t="s">
        <v>14</v>
      </c>
    </row>
    <row r="16">
      <c r="A16" s="8"/>
      <c r="B16" s="6"/>
      <c r="C16" s="9"/>
    </row>
    <row r="17">
      <c r="A17" s="5" t="s">
        <v>15</v>
      </c>
      <c r="B17" s="6"/>
      <c r="C17" s="7" t="s">
        <v>16</v>
      </c>
    </row>
    <row r="18">
      <c r="A18" s="8"/>
      <c r="B18" s="6"/>
      <c r="C18" s="9"/>
    </row>
    <row r="19">
      <c r="A19" s="10" t="s">
        <v>17</v>
      </c>
      <c r="B19" s="6"/>
      <c r="C19" s="7" t="s">
        <v>18</v>
      </c>
    </row>
    <row r="20">
      <c r="A20" s="8"/>
      <c r="B20" s="6"/>
      <c r="C20" s="9"/>
    </row>
    <row r="21">
      <c r="A21" s="5" t="s">
        <v>19</v>
      </c>
      <c r="B21" s="6"/>
      <c r="C21" s="7" t="s">
        <v>20</v>
      </c>
    </row>
    <row r="22">
      <c r="A22" s="8"/>
      <c r="B22" s="6"/>
      <c r="C22" s="9"/>
    </row>
    <row r="23">
      <c r="A23" s="5" t="s">
        <v>21</v>
      </c>
      <c r="B23" s="6"/>
      <c r="C23" s="7" t="s">
        <v>22</v>
      </c>
    </row>
    <row r="24">
      <c r="A24" s="8"/>
      <c r="B24" s="6"/>
      <c r="C24" s="9"/>
    </row>
    <row r="25">
      <c r="A25" s="5" t="s">
        <v>23</v>
      </c>
      <c r="B25" s="6"/>
      <c r="C25" s="7" t="s">
        <v>24</v>
      </c>
    </row>
    <row r="26">
      <c r="A26" s="8"/>
      <c r="B26" s="6"/>
      <c r="C26" s="9"/>
    </row>
    <row r="27">
      <c r="A27" s="5" t="s">
        <v>25</v>
      </c>
      <c r="B27" s="6"/>
      <c r="C27" s="7" t="s">
        <v>26</v>
      </c>
    </row>
    <row r="28">
      <c r="A28" s="8"/>
      <c r="B28" s="6"/>
      <c r="C28" s="9"/>
    </row>
    <row r="29">
      <c r="A29" s="5" t="s">
        <v>27</v>
      </c>
      <c r="B29" s="6"/>
      <c r="C29" s="7" t="s">
        <v>28</v>
      </c>
    </row>
    <row r="30">
      <c r="A30" s="8"/>
      <c r="B30" s="6"/>
      <c r="C30" s="9"/>
    </row>
    <row r="31">
      <c r="A31" s="5" t="s">
        <v>29</v>
      </c>
      <c r="B31" s="6"/>
      <c r="C31" s="7" t="s">
        <v>30</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5.0" topLeftCell="A16" activePane="bottomLeft" state="frozen"/>
      <selection activeCell="B17" sqref="B17" pane="bottomLeft"/>
    </sheetView>
  </sheetViews>
  <sheetFormatPr customHeight="1" defaultColWidth="12.63" defaultRowHeight="15.75"/>
  <cols>
    <col customWidth="1" min="1" max="2" width="10.5"/>
    <col customWidth="1" min="3" max="3" width="20.13"/>
    <col customWidth="1" min="4" max="4" width="25.5"/>
    <col customWidth="1" min="5" max="5" width="26.13"/>
  </cols>
  <sheetData>
    <row r="2">
      <c r="A2" s="11" t="s">
        <v>31</v>
      </c>
      <c r="E2" s="12" t="s">
        <v>32</v>
      </c>
    </row>
    <row r="3">
      <c r="C3" s="13"/>
    </row>
    <row r="4">
      <c r="A4" s="12" t="s">
        <v>33</v>
      </c>
      <c r="C4" s="12"/>
      <c r="D4" s="12" t="s">
        <v>34</v>
      </c>
    </row>
    <row r="5">
      <c r="A5" s="12" t="s">
        <v>35</v>
      </c>
      <c r="C5" s="12"/>
      <c r="D5" s="12" t="s">
        <v>36</v>
      </c>
    </row>
    <row r="6">
      <c r="A6" s="12" t="s">
        <v>37</v>
      </c>
      <c r="C6" s="12"/>
      <c r="D6" s="12" t="s">
        <v>38</v>
      </c>
    </row>
    <row r="7">
      <c r="A7" s="12" t="s">
        <v>39</v>
      </c>
      <c r="D7" s="12" t="s">
        <v>40</v>
      </c>
    </row>
    <row r="8" hidden="1"/>
    <row r="9" hidden="1"/>
    <row r="10" hidden="1"/>
    <row r="11" hidden="1"/>
    <row r="12" hidden="1"/>
    <row r="13">
      <c r="A13" s="12" t="s">
        <v>41</v>
      </c>
      <c r="D13" s="12" t="s">
        <v>42</v>
      </c>
    </row>
    <row r="14">
      <c r="A14" s="14"/>
      <c r="B14" s="14"/>
      <c r="C14" s="14"/>
      <c r="D14" s="14"/>
      <c r="E14" s="14"/>
    </row>
    <row r="15">
      <c r="A15" s="15" t="s">
        <v>43</v>
      </c>
      <c r="B15" s="15" t="s">
        <v>44</v>
      </c>
      <c r="C15" s="15" t="s">
        <v>45</v>
      </c>
      <c r="D15" s="15" t="s">
        <v>46</v>
      </c>
      <c r="E15" s="15" t="s">
        <v>47</v>
      </c>
    </row>
    <row r="16">
      <c r="A16" s="16">
        <v>1.0</v>
      </c>
      <c r="B16" s="17">
        <v>44719.0</v>
      </c>
      <c r="C16" s="16" t="s">
        <v>48</v>
      </c>
      <c r="D16" s="18" t="s">
        <v>49</v>
      </c>
      <c r="E16" s="16" t="s">
        <v>7</v>
      </c>
    </row>
    <row r="17">
      <c r="A17" s="16">
        <v>3.0</v>
      </c>
      <c r="B17" s="17">
        <v>44732.0</v>
      </c>
      <c r="C17" s="16" t="s">
        <v>50</v>
      </c>
      <c r="D17" s="18" t="s">
        <v>51</v>
      </c>
      <c r="E17" s="16" t="s">
        <v>52</v>
      </c>
    </row>
    <row r="18">
      <c r="A18" s="16">
        <v>5.0</v>
      </c>
      <c r="B18" s="17">
        <v>44734.0</v>
      </c>
      <c r="C18" s="16" t="s">
        <v>53</v>
      </c>
      <c r="D18" s="19" t="s">
        <v>54</v>
      </c>
      <c r="E18" s="16" t="s">
        <v>55</v>
      </c>
    </row>
    <row r="19">
      <c r="A19" s="16">
        <v>10.0</v>
      </c>
      <c r="B19" s="17">
        <v>44738.0</v>
      </c>
      <c r="C19" s="16" t="s">
        <v>56</v>
      </c>
      <c r="D19" s="19" t="s">
        <v>57</v>
      </c>
      <c r="E19" s="16" t="s">
        <v>58</v>
      </c>
    </row>
    <row r="20">
      <c r="A20" s="16">
        <v>11.0</v>
      </c>
      <c r="B20" s="17">
        <v>44738.0</v>
      </c>
      <c r="C20" s="16" t="s">
        <v>59</v>
      </c>
      <c r="D20" s="19" t="s">
        <v>60</v>
      </c>
      <c r="E20" s="16" t="s">
        <v>61</v>
      </c>
    </row>
    <row r="21">
      <c r="A21" s="16">
        <v>12.0</v>
      </c>
      <c r="B21" s="17">
        <v>44738.0</v>
      </c>
      <c r="C21" s="16" t="s">
        <v>62</v>
      </c>
      <c r="D21" s="19" t="s">
        <v>63</v>
      </c>
      <c r="E21" s="16" t="s">
        <v>64</v>
      </c>
    </row>
    <row r="22">
      <c r="A22" s="16">
        <v>16.0</v>
      </c>
      <c r="B22" s="17">
        <v>44739.0</v>
      </c>
      <c r="C22" s="16" t="s">
        <v>65</v>
      </c>
      <c r="D22" s="18" t="s">
        <v>66</v>
      </c>
      <c r="E22" s="16" t="s">
        <v>67</v>
      </c>
    </row>
    <row r="23">
      <c r="A23" s="16">
        <v>17.0</v>
      </c>
      <c r="B23" s="17">
        <v>44740.0</v>
      </c>
      <c r="C23" s="16" t="s">
        <v>68</v>
      </c>
      <c r="D23" s="18" t="s">
        <v>69</v>
      </c>
      <c r="E23" s="16" t="s">
        <v>70</v>
      </c>
    </row>
    <row r="24">
      <c r="A24" s="16">
        <v>18.0</v>
      </c>
      <c r="B24" s="17">
        <v>44740.0</v>
      </c>
      <c r="C24" s="16" t="s">
        <v>71</v>
      </c>
      <c r="D24" s="18" t="s">
        <v>72</v>
      </c>
      <c r="E24" s="16" t="s">
        <v>73</v>
      </c>
    </row>
    <row r="25">
      <c r="A25" s="16">
        <v>19.0</v>
      </c>
      <c r="B25" s="17">
        <v>44743.0</v>
      </c>
      <c r="C25" s="16" t="s">
        <v>74</v>
      </c>
      <c r="D25" s="18" t="s">
        <v>75</v>
      </c>
      <c r="E25" s="16" t="s">
        <v>76</v>
      </c>
    </row>
    <row r="26">
      <c r="A26" s="16">
        <v>20.0</v>
      </c>
      <c r="B26" s="17">
        <v>44743.0</v>
      </c>
      <c r="C26" s="16" t="s">
        <v>77</v>
      </c>
      <c r="D26" s="18" t="s">
        <v>78</v>
      </c>
      <c r="E26" s="16" t="s">
        <v>79</v>
      </c>
    </row>
    <row r="27">
      <c r="A27" s="16">
        <v>21.0</v>
      </c>
      <c r="B27" s="17">
        <v>44744.0</v>
      </c>
      <c r="C27" s="16" t="s">
        <v>80</v>
      </c>
      <c r="D27" s="18" t="s">
        <v>81</v>
      </c>
      <c r="E27" s="16" t="s">
        <v>82</v>
      </c>
    </row>
    <row r="28">
      <c r="A28" s="16">
        <v>22.0</v>
      </c>
      <c r="B28" s="17">
        <v>44745.0</v>
      </c>
      <c r="C28" s="16" t="s">
        <v>83</v>
      </c>
      <c r="D28" s="18" t="s">
        <v>84</v>
      </c>
      <c r="E28" s="16" t="s">
        <v>85</v>
      </c>
    </row>
    <row r="29">
      <c r="A29" s="16">
        <v>23.0</v>
      </c>
      <c r="B29" s="17">
        <v>44745.0</v>
      </c>
      <c r="C29" s="16" t="s">
        <v>86</v>
      </c>
      <c r="D29" s="20" t="s">
        <v>87</v>
      </c>
      <c r="E29" s="16" t="s">
        <v>88</v>
      </c>
    </row>
    <row r="30">
      <c r="A30" s="16">
        <v>26.0</v>
      </c>
      <c r="B30" s="17">
        <v>44745.0</v>
      </c>
      <c r="C30" s="16" t="s">
        <v>89</v>
      </c>
      <c r="D30" s="20" t="s">
        <v>90</v>
      </c>
      <c r="E30" s="16" t="s">
        <v>91</v>
      </c>
    </row>
    <row r="31">
      <c r="A31" s="16">
        <v>28.0</v>
      </c>
      <c r="B31" s="17">
        <v>44746.0</v>
      </c>
      <c r="C31" s="16" t="s">
        <v>92</v>
      </c>
      <c r="D31" s="20" t="s">
        <v>93</v>
      </c>
      <c r="E31" s="16" t="s">
        <v>94</v>
      </c>
    </row>
    <row r="32">
      <c r="A32" s="16">
        <v>29.0</v>
      </c>
      <c r="B32" s="17">
        <v>44747.0</v>
      </c>
      <c r="C32" s="16" t="s">
        <v>95</v>
      </c>
      <c r="D32" s="18" t="s">
        <v>96</v>
      </c>
      <c r="E32" s="16" t="s">
        <v>97</v>
      </c>
    </row>
    <row r="33">
      <c r="A33" s="16">
        <v>30.0</v>
      </c>
      <c r="B33" s="17">
        <v>44748.0</v>
      </c>
      <c r="C33" s="16" t="s">
        <v>98</v>
      </c>
      <c r="D33" s="19" t="s">
        <v>99</v>
      </c>
      <c r="E33" s="16" t="s">
        <v>100</v>
      </c>
    </row>
    <row r="34">
      <c r="A34" s="16">
        <v>31.0</v>
      </c>
      <c r="B34" s="17">
        <v>44748.0</v>
      </c>
      <c r="C34" s="16" t="s">
        <v>101</v>
      </c>
      <c r="D34" s="19" t="s">
        <v>102</v>
      </c>
      <c r="E34" s="16" t="s">
        <v>103</v>
      </c>
    </row>
    <row r="35">
      <c r="A35" s="16">
        <v>32.0</v>
      </c>
      <c r="B35" s="17">
        <v>44749.0</v>
      </c>
      <c r="C35" s="16" t="s">
        <v>104</v>
      </c>
      <c r="D35" s="19" t="s">
        <v>105</v>
      </c>
      <c r="E35" s="16" t="s">
        <v>106</v>
      </c>
    </row>
    <row r="36">
      <c r="A36" s="16">
        <v>34.0</v>
      </c>
      <c r="B36" s="17">
        <v>44750.0</v>
      </c>
      <c r="C36" s="16" t="s">
        <v>107</v>
      </c>
      <c r="D36" s="19" t="s">
        <v>108</v>
      </c>
      <c r="E36" s="16" t="s">
        <v>109</v>
      </c>
    </row>
    <row r="37">
      <c r="A37" s="16">
        <v>36.0</v>
      </c>
      <c r="B37" s="17">
        <v>44753.0</v>
      </c>
      <c r="C37" s="16" t="s">
        <v>110</v>
      </c>
      <c r="D37" s="19" t="s">
        <v>111</v>
      </c>
      <c r="E37" s="16" t="s">
        <v>112</v>
      </c>
    </row>
    <row r="38">
      <c r="A38" s="16">
        <v>37.0</v>
      </c>
      <c r="B38" s="17">
        <v>44753.0</v>
      </c>
      <c r="C38" s="16" t="s">
        <v>113</v>
      </c>
      <c r="D38" s="19" t="s">
        <v>114</v>
      </c>
      <c r="E38" s="16" t="s">
        <v>115</v>
      </c>
    </row>
    <row r="39">
      <c r="A39" s="16">
        <v>38.0</v>
      </c>
      <c r="B39" s="17">
        <v>44753.0</v>
      </c>
      <c r="C39" s="16" t="s">
        <v>116</v>
      </c>
      <c r="D39" s="19" t="s">
        <v>117</v>
      </c>
      <c r="E39" s="16" t="s">
        <v>118</v>
      </c>
    </row>
    <row r="40">
      <c r="A40" s="16">
        <v>39.0</v>
      </c>
      <c r="B40" s="17">
        <v>44754.0</v>
      </c>
      <c r="C40" s="16" t="s">
        <v>119</v>
      </c>
      <c r="D40" s="19" t="s">
        <v>120</v>
      </c>
      <c r="E40" s="16" t="s">
        <v>121</v>
      </c>
    </row>
    <row r="41">
      <c r="A41" s="16">
        <v>41.0</v>
      </c>
      <c r="B41" s="17">
        <v>44755.0</v>
      </c>
      <c r="C41" s="16" t="s">
        <v>122</v>
      </c>
      <c r="D41" s="19" t="s">
        <v>123</v>
      </c>
      <c r="E41" s="16" t="s">
        <v>124</v>
      </c>
    </row>
    <row r="42">
      <c r="A42" s="16">
        <v>42.0</v>
      </c>
      <c r="B42" s="17">
        <v>44755.0</v>
      </c>
      <c r="C42" s="16" t="s">
        <v>125</v>
      </c>
      <c r="D42" s="19" t="s">
        <v>126</v>
      </c>
      <c r="E42" s="16" t="s">
        <v>127</v>
      </c>
    </row>
    <row r="43">
      <c r="A43" s="16">
        <v>43.0</v>
      </c>
      <c r="B43" s="17">
        <v>44756.0</v>
      </c>
      <c r="C43" s="16" t="s">
        <v>128</v>
      </c>
      <c r="D43" s="19" t="s">
        <v>129</v>
      </c>
      <c r="E43" s="16" t="s">
        <v>130</v>
      </c>
    </row>
    <row r="44">
      <c r="A44" s="16">
        <v>44.0</v>
      </c>
      <c r="B44" s="17">
        <v>44757.0</v>
      </c>
      <c r="C44" s="16" t="s">
        <v>131</v>
      </c>
      <c r="D44" s="19" t="s">
        <v>132</v>
      </c>
      <c r="E44" s="16" t="s">
        <v>133</v>
      </c>
    </row>
    <row r="45">
      <c r="A45" s="16">
        <v>45.0</v>
      </c>
      <c r="B45" s="17">
        <v>44757.0</v>
      </c>
      <c r="C45" s="16" t="s">
        <v>134</v>
      </c>
      <c r="D45" s="19" t="s">
        <v>135</v>
      </c>
      <c r="E45" s="16" t="s">
        <v>136</v>
      </c>
    </row>
    <row r="46">
      <c r="A46" s="16">
        <v>46.0</v>
      </c>
      <c r="B46" s="17">
        <v>44758.0</v>
      </c>
      <c r="C46" s="16" t="s">
        <v>137</v>
      </c>
      <c r="D46" s="19" t="s">
        <v>138</v>
      </c>
      <c r="E46" s="16" t="s">
        <v>139</v>
      </c>
    </row>
    <row r="47">
      <c r="A47" s="16">
        <v>47.0</v>
      </c>
      <c r="B47" s="17">
        <v>44759.0</v>
      </c>
      <c r="C47" s="16" t="s">
        <v>140</v>
      </c>
      <c r="D47" s="19" t="s">
        <v>141</v>
      </c>
      <c r="E47" s="16" t="s">
        <v>142</v>
      </c>
    </row>
    <row r="48">
      <c r="A48" s="16">
        <v>48.0</v>
      </c>
      <c r="B48" s="17">
        <v>44761.0</v>
      </c>
      <c r="C48" s="16" t="s">
        <v>143</v>
      </c>
      <c r="D48" s="19" t="s">
        <v>144</v>
      </c>
      <c r="E48" s="16" t="s">
        <v>145</v>
      </c>
    </row>
    <row r="49">
      <c r="A49" s="16">
        <v>49.0</v>
      </c>
      <c r="B49" s="17">
        <v>44762.0</v>
      </c>
      <c r="C49" s="16" t="s">
        <v>146</v>
      </c>
      <c r="D49" s="19" t="s">
        <v>147</v>
      </c>
      <c r="E49" s="16" t="s">
        <v>148</v>
      </c>
    </row>
    <row r="50">
      <c r="A50" s="16">
        <v>50.0</v>
      </c>
      <c r="B50" s="17">
        <v>44762.0</v>
      </c>
      <c r="C50" s="16" t="s">
        <v>149</v>
      </c>
      <c r="D50" s="19" t="s">
        <v>150</v>
      </c>
      <c r="E50" s="16" t="s">
        <v>151</v>
      </c>
    </row>
    <row r="51">
      <c r="A51" s="16">
        <v>51.0</v>
      </c>
      <c r="B51" s="17">
        <v>44762.0</v>
      </c>
      <c r="C51" s="16" t="s">
        <v>152</v>
      </c>
      <c r="D51" s="19" t="s">
        <v>153</v>
      </c>
      <c r="E51" s="16" t="s">
        <v>154</v>
      </c>
    </row>
    <row r="52">
      <c r="A52" s="16">
        <v>52.0</v>
      </c>
      <c r="B52" s="17">
        <v>44766.0</v>
      </c>
      <c r="C52" s="16" t="s">
        <v>155</v>
      </c>
      <c r="D52" s="19" t="s">
        <v>156</v>
      </c>
      <c r="E52" s="16" t="s">
        <v>157</v>
      </c>
    </row>
    <row r="53">
      <c r="A53" s="16">
        <v>53.0</v>
      </c>
      <c r="B53" s="17">
        <v>44768.0</v>
      </c>
      <c r="C53" s="16" t="s">
        <v>158</v>
      </c>
      <c r="D53" s="19" t="s">
        <v>159</v>
      </c>
      <c r="E53" s="16" t="s">
        <v>160</v>
      </c>
    </row>
    <row r="54">
      <c r="A54" s="16">
        <v>54.0</v>
      </c>
      <c r="B54" s="17">
        <v>44769.0</v>
      </c>
      <c r="C54" s="16" t="s">
        <v>161</v>
      </c>
      <c r="D54" s="19" t="s">
        <v>162</v>
      </c>
      <c r="E54" s="19" t="s">
        <v>163</v>
      </c>
    </row>
    <row r="55">
      <c r="A55" s="16">
        <v>55.0</v>
      </c>
      <c r="B55" s="17">
        <v>44769.0</v>
      </c>
      <c r="C55" s="16" t="s">
        <v>164</v>
      </c>
      <c r="D55" s="19" t="s">
        <v>165</v>
      </c>
      <c r="E55" s="19" t="s">
        <v>166</v>
      </c>
    </row>
    <row r="56">
      <c r="A56" s="16">
        <v>56.0</v>
      </c>
      <c r="B56" s="17">
        <v>44769.0</v>
      </c>
      <c r="C56" s="16" t="s">
        <v>167</v>
      </c>
      <c r="D56" s="19" t="s">
        <v>168</v>
      </c>
      <c r="E56" s="19" t="s">
        <v>169</v>
      </c>
    </row>
    <row r="57">
      <c r="A57" s="16">
        <v>57.0</v>
      </c>
      <c r="B57" s="17">
        <v>44771.0</v>
      </c>
      <c r="C57" s="16" t="s">
        <v>170</v>
      </c>
      <c r="D57" s="19" t="s">
        <v>171</v>
      </c>
      <c r="E57" s="19" t="s">
        <v>172</v>
      </c>
    </row>
    <row r="58">
      <c r="A58" s="16">
        <v>58.0</v>
      </c>
      <c r="B58" s="17">
        <v>44771.0</v>
      </c>
      <c r="C58" s="16" t="s">
        <v>173</v>
      </c>
      <c r="D58" s="19" t="s">
        <v>174</v>
      </c>
      <c r="E58" s="19" t="s">
        <v>175</v>
      </c>
    </row>
    <row r="59">
      <c r="A59" s="16">
        <v>59.0</v>
      </c>
      <c r="B59" s="17">
        <v>44771.0</v>
      </c>
      <c r="C59" s="16" t="s">
        <v>176</v>
      </c>
      <c r="D59" s="19" t="s">
        <v>177</v>
      </c>
      <c r="E59" s="19" t="s">
        <v>178</v>
      </c>
    </row>
    <row r="60">
      <c r="A60" s="16">
        <v>60.0</v>
      </c>
      <c r="B60" s="17">
        <v>44771.0</v>
      </c>
      <c r="C60" s="16" t="s">
        <v>179</v>
      </c>
      <c r="D60" s="19" t="s">
        <v>180</v>
      </c>
      <c r="E60" s="19" t="s">
        <v>181</v>
      </c>
    </row>
    <row r="61">
      <c r="A61" s="16">
        <v>61.0</v>
      </c>
      <c r="B61" s="17">
        <v>44772.0</v>
      </c>
      <c r="C61" s="16" t="s">
        <v>182</v>
      </c>
      <c r="D61" s="19" t="s">
        <v>183</v>
      </c>
      <c r="E61" s="19" t="s">
        <v>184</v>
      </c>
    </row>
    <row r="62">
      <c r="A62" s="16">
        <v>62.0</v>
      </c>
      <c r="B62" s="17">
        <v>44773.0</v>
      </c>
      <c r="C62" s="16" t="s">
        <v>185</v>
      </c>
      <c r="D62" s="19" t="s">
        <v>186</v>
      </c>
      <c r="E62" s="19" t="s">
        <v>187</v>
      </c>
    </row>
    <row r="63">
      <c r="A63" s="16">
        <v>63.0</v>
      </c>
      <c r="B63" s="17">
        <v>44773.0</v>
      </c>
      <c r="C63" s="16" t="s">
        <v>188</v>
      </c>
      <c r="D63" s="19" t="s">
        <v>189</v>
      </c>
      <c r="E63" s="19" t="s">
        <v>190</v>
      </c>
    </row>
    <row r="64">
      <c r="A64" s="16">
        <v>64.0</v>
      </c>
      <c r="B64" s="17">
        <v>44774.0</v>
      </c>
      <c r="C64" s="16" t="s">
        <v>191</v>
      </c>
      <c r="D64" s="19" t="s">
        <v>192</v>
      </c>
      <c r="E64" s="19" t="s">
        <v>193</v>
      </c>
    </row>
    <row r="65">
      <c r="A65" s="16">
        <v>65.0</v>
      </c>
      <c r="B65" s="17">
        <v>44774.0</v>
      </c>
      <c r="C65" s="16" t="s">
        <v>194</v>
      </c>
      <c r="D65" s="19" t="s">
        <v>195</v>
      </c>
      <c r="E65" s="19" t="s">
        <v>196</v>
      </c>
    </row>
    <row r="66">
      <c r="A66" s="16">
        <v>66.0</v>
      </c>
      <c r="B66" s="17">
        <v>44775.0</v>
      </c>
      <c r="C66" s="16" t="s">
        <v>197</v>
      </c>
      <c r="D66" s="19" t="s">
        <v>198</v>
      </c>
      <c r="E66" s="19" t="s">
        <v>199</v>
      </c>
    </row>
    <row r="67">
      <c r="A67" s="16">
        <v>67.0</v>
      </c>
      <c r="B67" s="17">
        <v>44775.0</v>
      </c>
      <c r="C67" s="16" t="s">
        <v>200</v>
      </c>
      <c r="D67" s="19" t="s">
        <v>201</v>
      </c>
      <c r="E67" s="19" t="s">
        <v>202</v>
      </c>
    </row>
    <row r="68">
      <c r="A68" s="16">
        <v>69.0</v>
      </c>
      <c r="B68" s="17">
        <v>44777.0</v>
      </c>
      <c r="C68" s="16" t="s">
        <v>203</v>
      </c>
      <c r="D68" s="19" t="s">
        <v>204</v>
      </c>
      <c r="E68" s="19" t="s">
        <v>205</v>
      </c>
    </row>
    <row r="69">
      <c r="A69" s="16">
        <v>70.0</v>
      </c>
      <c r="B69" s="17">
        <v>44777.0</v>
      </c>
      <c r="C69" s="16" t="s">
        <v>206</v>
      </c>
      <c r="D69" s="19" t="s">
        <v>207</v>
      </c>
      <c r="E69" s="19" t="s">
        <v>208</v>
      </c>
    </row>
    <row r="70">
      <c r="A70" s="16">
        <v>71.0</v>
      </c>
      <c r="B70" s="17">
        <v>44778.0</v>
      </c>
      <c r="C70" s="16" t="s">
        <v>209</v>
      </c>
      <c r="D70" s="19" t="s">
        <v>210</v>
      </c>
      <c r="E70" s="19" t="s">
        <v>211</v>
      </c>
    </row>
    <row r="71">
      <c r="A71" s="16">
        <v>72.0</v>
      </c>
      <c r="B71" s="17">
        <v>44778.0</v>
      </c>
      <c r="C71" s="16" t="s">
        <v>212</v>
      </c>
      <c r="D71" s="19" t="s">
        <v>213</v>
      </c>
      <c r="E71" s="19" t="s">
        <v>214</v>
      </c>
    </row>
    <row r="72">
      <c r="A72" s="16">
        <v>73.0</v>
      </c>
      <c r="B72" s="17">
        <v>44778.0</v>
      </c>
      <c r="C72" s="16" t="s">
        <v>215</v>
      </c>
      <c r="D72" s="19" t="s">
        <v>216</v>
      </c>
      <c r="E72" s="19" t="s">
        <v>217</v>
      </c>
    </row>
    <row r="73">
      <c r="A73" s="16">
        <v>74.0</v>
      </c>
      <c r="B73" s="17">
        <v>44779.0</v>
      </c>
      <c r="C73" s="16" t="s">
        <v>218</v>
      </c>
      <c r="D73" s="19" t="s">
        <v>219</v>
      </c>
      <c r="E73" s="19" t="s">
        <v>220</v>
      </c>
    </row>
    <row r="74">
      <c r="A74" s="16">
        <v>75.0</v>
      </c>
      <c r="B74" s="21">
        <v>44782.0</v>
      </c>
      <c r="C74" s="16" t="s">
        <v>221</v>
      </c>
      <c r="D74" s="19" t="s">
        <v>222</v>
      </c>
      <c r="E74" s="19" t="s">
        <v>223</v>
      </c>
    </row>
    <row r="75">
      <c r="A75" s="16">
        <v>76.0</v>
      </c>
      <c r="B75" s="17">
        <v>44782.0</v>
      </c>
      <c r="C75" s="16" t="s">
        <v>224</v>
      </c>
      <c r="D75" s="19" t="s">
        <v>225</v>
      </c>
      <c r="E75" s="19" t="s">
        <v>226</v>
      </c>
    </row>
    <row r="76">
      <c r="A76" s="16">
        <v>77.0</v>
      </c>
      <c r="B76" s="17">
        <v>44784.0</v>
      </c>
      <c r="C76" s="16" t="s">
        <v>227</v>
      </c>
      <c r="D76" s="19" t="s">
        <v>228</v>
      </c>
      <c r="E76" s="19" t="s">
        <v>229</v>
      </c>
    </row>
    <row r="77">
      <c r="A77" s="16">
        <v>78.0</v>
      </c>
      <c r="B77" s="17">
        <v>44786.0</v>
      </c>
      <c r="C77" s="16" t="s">
        <v>230</v>
      </c>
      <c r="D77" s="19" t="s">
        <v>231</v>
      </c>
      <c r="E77" s="19" t="s">
        <v>232</v>
      </c>
    </row>
    <row r="78">
      <c r="A78" s="16">
        <v>79.0</v>
      </c>
      <c r="B78" s="17">
        <v>44788.0</v>
      </c>
      <c r="C78" s="16" t="s">
        <v>233</v>
      </c>
      <c r="D78" s="19" t="s">
        <v>234</v>
      </c>
      <c r="E78" s="19" t="s">
        <v>235</v>
      </c>
    </row>
    <row r="79">
      <c r="A79" s="16">
        <v>80.0</v>
      </c>
      <c r="B79" s="17">
        <v>44788.0</v>
      </c>
      <c r="C79" s="16" t="s">
        <v>236</v>
      </c>
      <c r="D79" s="19" t="s">
        <v>237</v>
      </c>
      <c r="E79" s="19" t="s">
        <v>238</v>
      </c>
    </row>
    <row r="80">
      <c r="A80" s="16">
        <v>81.0</v>
      </c>
      <c r="B80" s="17">
        <v>44789.0</v>
      </c>
      <c r="C80" s="16" t="s">
        <v>239</v>
      </c>
      <c r="D80" s="19" t="s">
        <v>240</v>
      </c>
      <c r="E80" s="19" t="s">
        <v>241</v>
      </c>
    </row>
    <row r="81">
      <c r="A81" s="16">
        <v>82.0</v>
      </c>
      <c r="B81" s="17">
        <v>44791.0</v>
      </c>
      <c r="C81" s="16" t="s">
        <v>242</v>
      </c>
      <c r="D81" s="19" t="s">
        <v>243</v>
      </c>
      <c r="E81" s="19" t="s">
        <v>244</v>
      </c>
    </row>
    <row r="82">
      <c r="A82" s="16">
        <v>83.0</v>
      </c>
      <c r="B82" s="17">
        <v>45156.0</v>
      </c>
      <c r="C82" s="16" t="s">
        <v>245</v>
      </c>
      <c r="D82" s="19"/>
      <c r="E82" s="19"/>
    </row>
    <row r="83">
      <c r="A83" s="16">
        <v>84.0</v>
      </c>
      <c r="B83" s="17">
        <v>44791.0</v>
      </c>
      <c r="C83" s="16" t="s">
        <v>246</v>
      </c>
      <c r="D83" s="19" t="s">
        <v>247</v>
      </c>
      <c r="E83" s="19" t="s">
        <v>248</v>
      </c>
    </row>
    <row r="84">
      <c r="A84" s="16">
        <v>85.0</v>
      </c>
      <c r="B84" s="17">
        <v>44791.0</v>
      </c>
      <c r="C84" s="16" t="s">
        <v>249</v>
      </c>
      <c r="D84" s="19" t="s">
        <v>250</v>
      </c>
      <c r="E84" s="19" t="s">
        <v>251</v>
      </c>
    </row>
    <row r="85">
      <c r="A85" s="16">
        <v>86.0</v>
      </c>
      <c r="B85" s="17">
        <v>44792.0</v>
      </c>
      <c r="C85" s="16" t="s">
        <v>252</v>
      </c>
      <c r="D85" s="19" t="s">
        <v>253</v>
      </c>
      <c r="E85" s="19" t="s">
        <v>254</v>
      </c>
    </row>
    <row r="86">
      <c r="A86" s="16">
        <v>87.0</v>
      </c>
      <c r="B86" s="17">
        <v>44792.0</v>
      </c>
      <c r="C86" s="16" t="s">
        <v>255</v>
      </c>
      <c r="D86" s="19" t="s">
        <v>256</v>
      </c>
      <c r="E86" s="19" t="s">
        <v>257</v>
      </c>
    </row>
    <row r="87">
      <c r="A87" s="16">
        <v>88.0</v>
      </c>
      <c r="B87" s="17">
        <v>44792.0</v>
      </c>
      <c r="C87" s="16" t="s">
        <v>258</v>
      </c>
      <c r="D87" s="19" t="s">
        <v>259</v>
      </c>
      <c r="E87" s="19" t="s">
        <v>260</v>
      </c>
    </row>
    <row r="88">
      <c r="A88" s="16">
        <v>89.0</v>
      </c>
      <c r="B88" s="17">
        <v>44793.0</v>
      </c>
      <c r="C88" s="16" t="s">
        <v>261</v>
      </c>
      <c r="D88" s="19" t="s">
        <v>262</v>
      </c>
      <c r="E88" s="19" t="s">
        <v>263</v>
      </c>
    </row>
    <row r="89">
      <c r="A89" s="16">
        <v>90.0</v>
      </c>
      <c r="B89" s="17">
        <v>44796.0</v>
      </c>
      <c r="C89" s="16" t="s">
        <v>264</v>
      </c>
      <c r="D89" s="19" t="s">
        <v>265</v>
      </c>
      <c r="E89" s="19" t="s">
        <v>266</v>
      </c>
    </row>
    <row r="90">
      <c r="A90" s="16">
        <v>91.0</v>
      </c>
      <c r="B90" s="17">
        <v>44796.0</v>
      </c>
      <c r="C90" s="16" t="s">
        <v>267</v>
      </c>
      <c r="D90" s="19" t="s">
        <v>268</v>
      </c>
      <c r="E90" s="19" t="s">
        <v>269</v>
      </c>
    </row>
    <row r="91">
      <c r="A91" s="16">
        <v>92.0</v>
      </c>
      <c r="B91" s="17">
        <v>44797.0</v>
      </c>
      <c r="C91" s="16" t="s">
        <v>270</v>
      </c>
      <c r="D91" s="19" t="s">
        <v>271</v>
      </c>
      <c r="E91" s="19" t="s">
        <v>272</v>
      </c>
    </row>
    <row r="92">
      <c r="A92" s="16">
        <v>93.0</v>
      </c>
      <c r="B92" s="17">
        <v>44800.0</v>
      </c>
      <c r="C92" s="16" t="s">
        <v>273</v>
      </c>
      <c r="D92" s="19" t="s">
        <v>274</v>
      </c>
      <c r="E92" s="19" t="s">
        <v>275</v>
      </c>
    </row>
    <row r="93">
      <c r="A93" s="16">
        <v>95.0</v>
      </c>
      <c r="B93" s="17">
        <v>44802.0</v>
      </c>
      <c r="C93" s="16" t="s">
        <v>276</v>
      </c>
      <c r="D93" s="19" t="s">
        <v>277</v>
      </c>
      <c r="E93" s="19" t="s">
        <v>278</v>
      </c>
    </row>
    <row r="94">
      <c r="A94" s="16">
        <v>96.0</v>
      </c>
      <c r="B94" s="17">
        <v>44803.0</v>
      </c>
      <c r="C94" s="16" t="s">
        <v>279</v>
      </c>
      <c r="D94" s="19" t="s">
        <v>280</v>
      </c>
      <c r="E94" s="19" t="s">
        <v>281</v>
      </c>
    </row>
    <row r="95">
      <c r="A95" s="16">
        <v>97.0</v>
      </c>
      <c r="B95" s="17">
        <v>44803.0</v>
      </c>
      <c r="C95" s="16" t="s">
        <v>282</v>
      </c>
      <c r="D95" s="19" t="s">
        <v>283</v>
      </c>
      <c r="E95" s="19" t="s">
        <v>284</v>
      </c>
    </row>
    <row r="96">
      <c r="A96" s="16">
        <v>98.0</v>
      </c>
      <c r="B96" s="17">
        <v>44805.0</v>
      </c>
      <c r="C96" s="16" t="s">
        <v>285</v>
      </c>
      <c r="D96" s="19" t="s">
        <v>286</v>
      </c>
      <c r="E96" s="19" t="s">
        <v>287</v>
      </c>
    </row>
    <row r="97">
      <c r="A97" s="16">
        <v>99.0</v>
      </c>
      <c r="B97" s="17">
        <v>44806.0</v>
      </c>
      <c r="C97" s="16" t="s">
        <v>288</v>
      </c>
      <c r="D97" s="19" t="s">
        <v>289</v>
      </c>
      <c r="E97" s="19" t="s">
        <v>290</v>
      </c>
    </row>
    <row r="98">
      <c r="A98" s="16">
        <v>100.0</v>
      </c>
      <c r="B98" s="17">
        <v>44806.0</v>
      </c>
      <c r="C98" s="16" t="s">
        <v>291</v>
      </c>
      <c r="D98" s="19" t="s">
        <v>292</v>
      </c>
      <c r="E98" s="19" t="s">
        <v>293</v>
      </c>
    </row>
    <row r="99">
      <c r="A99" s="16">
        <v>101.0</v>
      </c>
      <c r="B99" s="17">
        <v>44806.0</v>
      </c>
      <c r="C99" s="16" t="s">
        <v>294</v>
      </c>
      <c r="D99" s="19" t="s">
        <v>295</v>
      </c>
      <c r="E99" s="19" t="s">
        <v>296</v>
      </c>
    </row>
    <row r="100">
      <c r="A100" s="16">
        <v>103.0</v>
      </c>
      <c r="B100" s="17">
        <v>44807.0</v>
      </c>
      <c r="C100" s="16" t="s">
        <v>297</v>
      </c>
      <c r="D100" s="19" t="s">
        <v>298</v>
      </c>
      <c r="E100" s="19" t="s">
        <v>299</v>
      </c>
    </row>
    <row r="101">
      <c r="A101" s="16">
        <v>104.0</v>
      </c>
      <c r="B101" s="17">
        <v>44807.0</v>
      </c>
      <c r="C101" s="16" t="s">
        <v>300</v>
      </c>
      <c r="D101" s="19" t="s">
        <v>301</v>
      </c>
      <c r="E101" s="19" t="s">
        <v>302</v>
      </c>
    </row>
    <row r="102">
      <c r="A102" s="16">
        <v>105.0</v>
      </c>
      <c r="B102" s="17">
        <v>44810.0</v>
      </c>
      <c r="C102" s="16" t="s">
        <v>303</v>
      </c>
      <c r="D102" s="19" t="s">
        <v>304</v>
      </c>
      <c r="E102" s="19" t="s">
        <v>305</v>
      </c>
    </row>
    <row r="103">
      <c r="A103" s="16">
        <v>106.0</v>
      </c>
      <c r="B103" s="17">
        <v>44810.0</v>
      </c>
      <c r="C103" s="16" t="s">
        <v>306</v>
      </c>
      <c r="D103" s="19" t="s">
        <v>307</v>
      </c>
      <c r="E103" s="19" t="s">
        <v>308</v>
      </c>
    </row>
    <row r="104">
      <c r="A104" s="16">
        <v>107.0</v>
      </c>
      <c r="B104" s="17">
        <v>44810.0</v>
      </c>
      <c r="C104" s="16" t="s">
        <v>309</v>
      </c>
      <c r="D104" s="19" t="s">
        <v>310</v>
      </c>
      <c r="E104" s="19" t="s">
        <v>311</v>
      </c>
    </row>
    <row r="105">
      <c r="A105" s="16">
        <v>108.0</v>
      </c>
      <c r="B105" s="17">
        <v>44811.0</v>
      </c>
      <c r="C105" s="16" t="s">
        <v>312</v>
      </c>
      <c r="D105" s="19" t="s">
        <v>313</v>
      </c>
      <c r="E105" s="22" t="s">
        <v>314</v>
      </c>
    </row>
    <row r="106">
      <c r="A106" s="16">
        <v>109.0</v>
      </c>
      <c r="B106" s="17">
        <v>44812.0</v>
      </c>
      <c r="C106" s="16" t="s">
        <v>315</v>
      </c>
      <c r="D106" s="19" t="s">
        <v>316</v>
      </c>
      <c r="E106" s="19" t="s">
        <v>317</v>
      </c>
    </row>
    <row r="107">
      <c r="A107" s="16">
        <v>110.0</v>
      </c>
      <c r="B107" s="23">
        <v>44813.0</v>
      </c>
      <c r="C107" s="24" t="s">
        <v>318</v>
      </c>
      <c r="D107" s="19" t="s">
        <v>319</v>
      </c>
      <c r="E107" s="19" t="s">
        <v>320</v>
      </c>
    </row>
    <row r="108">
      <c r="A108" s="16">
        <v>111.0</v>
      </c>
      <c r="B108" s="17">
        <v>44816.0</v>
      </c>
      <c r="C108" s="16" t="s">
        <v>321</v>
      </c>
      <c r="D108" s="19" t="s">
        <v>322</v>
      </c>
      <c r="E108" s="19" t="s">
        <v>323</v>
      </c>
    </row>
    <row r="109">
      <c r="A109" s="16">
        <v>113.0</v>
      </c>
      <c r="B109" s="17">
        <v>44819.0</v>
      </c>
      <c r="C109" s="16" t="s">
        <v>324</v>
      </c>
      <c r="D109" s="19" t="s">
        <v>325</v>
      </c>
      <c r="E109" s="19" t="s">
        <v>326</v>
      </c>
    </row>
    <row r="110">
      <c r="A110" s="16">
        <v>114.0</v>
      </c>
      <c r="B110" s="17">
        <v>44825.0</v>
      </c>
      <c r="C110" s="16" t="s">
        <v>327</v>
      </c>
      <c r="D110" s="19" t="s">
        <v>328</v>
      </c>
      <c r="E110" s="19" t="s">
        <v>329</v>
      </c>
    </row>
    <row r="111">
      <c r="A111" s="16">
        <v>115.0</v>
      </c>
      <c r="B111" s="17">
        <v>44825.0</v>
      </c>
      <c r="C111" s="16" t="s">
        <v>330</v>
      </c>
      <c r="D111" s="19" t="s">
        <v>331</v>
      </c>
      <c r="E111" s="19" t="s">
        <v>332</v>
      </c>
    </row>
    <row r="112">
      <c r="A112" s="16">
        <v>116.0</v>
      </c>
      <c r="B112" s="17">
        <v>44828.0</v>
      </c>
      <c r="C112" s="16" t="s">
        <v>333</v>
      </c>
      <c r="D112" s="19" t="s">
        <v>334</v>
      </c>
      <c r="E112" s="19" t="s">
        <v>335</v>
      </c>
    </row>
    <row r="113">
      <c r="A113" s="16">
        <v>117.0</v>
      </c>
      <c r="B113" s="16" t="s">
        <v>336</v>
      </c>
      <c r="C113" s="16" t="s">
        <v>337</v>
      </c>
      <c r="D113" s="19" t="s">
        <v>338</v>
      </c>
      <c r="E113" s="19" t="s">
        <v>339</v>
      </c>
    </row>
    <row r="114">
      <c r="A114" s="16">
        <v>118.0</v>
      </c>
      <c r="B114" s="17">
        <v>44830.0</v>
      </c>
      <c r="C114" s="16" t="s">
        <v>340</v>
      </c>
      <c r="D114" s="19" t="s">
        <v>341</v>
      </c>
      <c r="E114" s="19" t="s">
        <v>342</v>
      </c>
    </row>
    <row r="115">
      <c r="A115" s="16">
        <v>120.0</v>
      </c>
      <c r="B115" s="17">
        <v>44831.0</v>
      </c>
      <c r="C115" s="16" t="s">
        <v>343</v>
      </c>
      <c r="D115" s="19" t="s">
        <v>344</v>
      </c>
      <c r="E115" s="19" t="s">
        <v>345</v>
      </c>
    </row>
    <row r="116">
      <c r="A116" s="16">
        <v>121.0</v>
      </c>
      <c r="B116" s="25">
        <v>44831.0</v>
      </c>
      <c r="C116" s="26" t="s">
        <v>346</v>
      </c>
      <c r="D116" s="26" t="s">
        <v>347</v>
      </c>
      <c r="E116" s="26" t="s">
        <v>348</v>
      </c>
      <c r="F116" s="27"/>
      <c r="G116" s="27"/>
      <c r="H116" s="27"/>
      <c r="I116" s="27"/>
      <c r="J116" s="27"/>
      <c r="K116" s="27"/>
      <c r="L116" s="27"/>
      <c r="M116" s="27"/>
      <c r="N116" s="27"/>
      <c r="O116" s="27"/>
      <c r="P116" s="27"/>
      <c r="Q116" s="27"/>
      <c r="R116" s="27"/>
      <c r="S116" s="27"/>
      <c r="T116" s="27"/>
      <c r="U116" s="27"/>
      <c r="V116" s="27"/>
      <c r="W116" s="27"/>
      <c r="X116" s="27"/>
      <c r="Y116" s="27"/>
      <c r="Z116" s="27"/>
    </row>
    <row r="117">
      <c r="A117" s="16">
        <v>122.0</v>
      </c>
      <c r="B117" s="25">
        <v>44834.0</v>
      </c>
      <c r="C117" s="26" t="s">
        <v>349</v>
      </c>
      <c r="D117" s="26" t="s">
        <v>350</v>
      </c>
      <c r="E117" s="26" t="s">
        <v>351</v>
      </c>
      <c r="F117" s="28"/>
      <c r="G117" s="28"/>
      <c r="H117" s="28"/>
      <c r="I117" s="28"/>
      <c r="J117" s="28"/>
      <c r="K117" s="28"/>
      <c r="L117" s="28"/>
      <c r="M117" s="28"/>
      <c r="N117" s="28"/>
      <c r="O117" s="28"/>
      <c r="P117" s="28"/>
      <c r="Q117" s="28"/>
      <c r="R117" s="28"/>
      <c r="S117" s="28"/>
      <c r="T117" s="28"/>
      <c r="U117" s="28"/>
      <c r="V117" s="28"/>
      <c r="W117" s="28"/>
      <c r="X117" s="28"/>
      <c r="Y117" s="28"/>
      <c r="Z117" s="28"/>
    </row>
    <row r="118">
      <c r="A118" s="16">
        <v>123.0</v>
      </c>
      <c r="B118" s="25">
        <v>44834.0</v>
      </c>
      <c r="C118" s="26" t="s">
        <v>352</v>
      </c>
      <c r="D118" s="26" t="s">
        <v>353</v>
      </c>
      <c r="E118" s="26" t="s">
        <v>354</v>
      </c>
      <c r="F118" s="28"/>
      <c r="G118" s="28"/>
      <c r="H118" s="28"/>
      <c r="I118" s="28"/>
      <c r="J118" s="28"/>
      <c r="K118" s="28"/>
      <c r="L118" s="28"/>
      <c r="M118" s="28"/>
      <c r="N118" s="28"/>
      <c r="O118" s="28"/>
      <c r="P118" s="28"/>
      <c r="Q118" s="28"/>
      <c r="R118" s="28"/>
      <c r="S118" s="28"/>
      <c r="T118" s="28"/>
      <c r="U118" s="28"/>
      <c r="V118" s="28"/>
      <c r="W118" s="28"/>
      <c r="X118" s="28"/>
      <c r="Y118" s="28"/>
      <c r="Z118" s="28"/>
    </row>
    <row r="119">
      <c r="A119" s="16">
        <v>124.0</v>
      </c>
      <c r="B119" s="25">
        <v>44835.0</v>
      </c>
      <c r="C119" s="26" t="s">
        <v>355</v>
      </c>
      <c r="D119" s="26" t="s">
        <v>356</v>
      </c>
      <c r="E119" s="26" t="s">
        <v>357</v>
      </c>
      <c r="F119" s="28"/>
      <c r="G119" s="28"/>
      <c r="H119" s="28"/>
      <c r="I119" s="28"/>
      <c r="J119" s="28"/>
      <c r="K119" s="28"/>
      <c r="L119" s="28"/>
      <c r="M119" s="28"/>
      <c r="N119" s="28"/>
      <c r="O119" s="28"/>
      <c r="P119" s="28"/>
      <c r="Q119" s="28"/>
      <c r="R119" s="28"/>
      <c r="S119" s="28"/>
      <c r="T119" s="28"/>
      <c r="U119" s="28"/>
      <c r="V119" s="28"/>
      <c r="W119" s="28"/>
      <c r="X119" s="28"/>
      <c r="Y119" s="28"/>
      <c r="Z119" s="28"/>
    </row>
    <row r="120">
      <c r="A120" s="16">
        <v>125.0</v>
      </c>
      <c r="B120" s="25">
        <v>44835.0</v>
      </c>
      <c r="C120" s="26" t="s">
        <v>358</v>
      </c>
      <c r="D120" s="26" t="s">
        <v>359</v>
      </c>
      <c r="E120" s="26" t="s">
        <v>360</v>
      </c>
      <c r="F120" s="28"/>
      <c r="G120" s="28"/>
      <c r="H120" s="28"/>
      <c r="I120" s="28"/>
      <c r="J120" s="28"/>
      <c r="K120" s="28"/>
      <c r="L120" s="28"/>
      <c r="M120" s="28"/>
      <c r="N120" s="28"/>
      <c r="O120" s="28"/>
      <c r="P120" s="28"/>
      <c r="Q120" s="28"/>
      <c r="R120" s="28"/>
      <c r="S120" s="28"/>
      <c r="T120" s="28"/>
      <c r="U120" s="28"/>
      <c r="V120" s="28"/>
      <c r="W120" s="28"/>
      <c r="X120" s="28"/>
      <c r="Y120" s="28"/>
      <c r="Z120" s="28"/>
    </row>
    <row r="121">
      <c r="A121" s="16">
        <v>126.0</v>
      </c>
      <c r="B121" s="25">
        <v>44837.0</v>
      </c>
      <c r="C121" s="26" t="s">
        <v>361</v>
      </c>
      <c r="D121" s="26" t="s">
        <v>362</v>
      </c>
      <c r="E121" s="26" t="s">
        <v>363</v>
      </c>
      <c r="F121" s="28"/>
      <c r="G121" s="28"/>
      <c r="H121" s="28"/>
      <c r="I121" s="28"/>
      <c r="J121" s="28"/>
      <c r="K121" s="28"/>
      <c r="L121" s="28"/>
      <c r="M121" s="28"/>
      <c r="N121" s="28"/>
      <c r="O121" s="28"/>
      <c r="P121" s="28"/>
      <c r="Q121" s="28"/>
      <c r="R121" s="28"/>
      <c r="S121" s="28"/>
      <c r="T121" s="28"/>
      <c r="U121" s="28"/>
      <c r="V121" s="28"/>
      <c r="W121" s="28"/>
      <c r="X121" s="28"/>
      <c r="Y121" s="28"/>
      <c r="Z121" s="28"/>
    </row>
    <row r="122">
      <c r="A122" s="16">
        <v>127.0</v>
      </c>
      <c r="B122" s="25">
        <v>44838.0</v>
      </c>
      <c r="C122" s="26" t="s">
        <v>364</v>
      </c>
      <c r="D122" s="26" t="s">
        <v>365</v>
      </c>
      <c r="E122" s="26" t="s">
        <v>366</v>
      </c>
      <c r="F122" s="28"/>
      <c r="G122" s="28"/>
      <c r="H122" s="28"/>
      <c r="I122" s="28"/>
      <c r="J122" s="28"/>
      <c r="K122" s="28"/>
      <c r="L122" s="28"/>
      <c r="M122" s="28"/>
      <c r="N122" s="28"/>
      <c r="O122" s="28"/>
      <c r="P122" s="28"/>
      <c r="Q122" s="28"/>
      <c r="R122" s="28"/>
      <c r="S122" s="28"/>
      <c r="T122" s="28"/>
      <c r="U122" s="28"/>
      <c r="V122" s="28"/>
      <c r="W122" s="28"/>
      <c r="X122" s="28"/>
      <c r="Y122" s="28"/>
      <c r="Z122" s="28"/>
    </row>
    <row r="123">
      <c r="A123" s="16">
        <v>128.0</v>
      </c>
      <c r="B123" s="25">
        <v>44838.0</v>
      </c>
      <c r="C123" s="26" t="s">
        <v>367</v>
      </c>
      <c r="D123" s="26" t="s">
        <v>368</v>
      </c>
      <c r="E123" s="26" t="s">
        <v>369</v>
      </c>
      <c r="F123" s="28"/>
      <c r="G123" s="28"/>
      <c r="H123" s="28"/>
      <c r="I123" s="28"/>
      <c r="J123" s="28"/>
      <c r="K123" s="28"/>
      <c r="L123" s="28"/>
      <c r="M123" s="28"/>
      <c r="N123" s="28"/>
      <c r="O123" s="28"/>
      <c r="P123" s="28"/>
      <c r="Q123" s="28"/>
      <c r="R123" s="28"/>
      <c r="S123" s="28"/>
      <c r="T123" s="28"/>
      <c r="U123" s="28"/>
      <c r="V123" s="28"/>
      <c r="W123" s="28"/>
      <c r="X123" s="28"/>
      <c r="Y123" s="28"/>
      <c r="Z123" s="28"/>
    </row>
    <row r="124">
      <c r="A124" s="16">
        <v>129.0</v>
      </c>
      <c r="B124" s="25">
        <v>44838.0</v>
      </c>
      <c r="C124" s="26" t="s">
        <v>370</v>
      </c>
      <c r="D124" s="26" t="s">
        <v>371</v>
      </c>
      <c r="E124" s="26" t="s">
        <v>372</v>
      </c>
      <c r="F124" s="28"/>
      <c r="G124" s="28"/>
      <c r="H124" s="28"/>
      <c r="I124" s="28"/>
      <c r="J124" s="28"/>
      <c r="K124" s="28"/>
      <c r="L124" s="28"/>
      <c r="M124" s="28"/>
      <c r="N124" s="28"/>
      <c r="O124" s="28"/>
      <c r="P124" s="28"/>
      <c r="Q124" s="28"/>
      <c r="R124" s="28"/>
      <c r="S124" s="28"/>
      <c r="T124" s="28"/>
      <c r="U124" s="28"/>
      <c r="V124" s="28"/>
      <c r="W124" s="28"/>
      <c r="X124" s="28"/>
      <c r="Y124" s="28"/>
      <c r="Z124" s="28"/>
    </row>
    <row r="125">
      <c r="A125" s="16">
        <v>130.0</v>
      </c>
      <c r="B125" s="25">
        <v>44841.0</v>
      </c>
      <c r="C125" s="26" t="s">
        <v>373</v>
      </c>
      <c r="D125" s="26" t="s">
        <v>374</v>
      </c>
      <c r="E125" s="26" t="s">
        <v>375</v>
      </c>
      <c r="F125" s="28"/>
      <c r="G125" s="28"/>
      <c r="H125" s="28"/>
      <c r="I125" s="28"/>
      <c r="J125" s="28"/>
      <c r="K125" s="28"/>
      <c r="L125" s="28"/>
      <c r="M125" s="28"/>
      <c r="N125" s="28"/>
      <c r="O125" s="28"/>
      <c r="P125" s="28"/>
      <c r="Q125" s="28"/>
      <c r="R125" s="28"/>
      <c r="S125" s="28"/>
      <c r="T125" s="28"/>
      <c r="U125" s="28"/>
      <c r="V125" s="28"/>
      <c r="W125" s="28"/>
      <c r="X125" s="28"/>
      <c r="Y125" s="28"/>
      <c r="Z125" s="28"/>
    </row>
    <row r="126">
      <c r="A126" s="16">
        <v>132.0</v>
      </c>
      <c r="B126" s="25">
        <v>44842.0</v>
      </c>
      <c r="C126" s="26" t="s">
        <v>376</v>
      </c>
      <c r="D126" s="26" t="s">
        <v>377</v>
      </c>
      <c r="E126" s="26" t="s">
        <v>378</v>
      </c>
    </row>
    <row r="127">
      <c r="A127" s="16">
        <v>133.0</v>
      </c>
      <c r="B127" s="25">
        <v>44843.0</v>
      </c>
      <c r="C127" s="26" t="s">
        <v>379</v>
      </c>
      <c r="D127" s="26" t="s">
        <v>380</v>
      </c>
      <c r="E127" s="26" t="s">
        <v>381</v>
      </c>
    </row>
    <row r="128">
      <c r="A128" s="16">
        <v>134.0</v>
      </c>
      <c r="B128" s="25">
        <v>44844.0</v>
      </c>
      <c r="C128" s="26" t="s">
        <v>382</v>
      </c>
      <c r="D128" s="26" t="s">
        <v>383</v>
      </c>
      <c r="E128" s="26" t="s">
        <v>384</v>
      </c>
    </row>
    <row r="129">
      <c r="A129" s="16">
        <v>135.0</v>
      </c>
      <c r="B129" s="25">
        <v>44852.0</v>
      </c>
      <c r="C129" s="26" t="s">
        <v>385</v>
      </c>
      <c r="D129" s="26" t="s">
        <v>386</v>
      </c>
      <c r="E129" s="26" t="s">
        <v>387</v>
      </c>
    </row>
    <row r="130">
      <c r="A130" s="16">
        <v>136.0</v>
      </c>
      <c r="B130" s="25">
        <v>44852.0</v>
      </c>
      <c r="C130" s="26" t="s">
        <v>388</v>
      </c>
      <c r="D130" s="26" t="s">
        <v>389</v>
      </c>
      <c r="E130" s="26" t="s">
        <v>390</v>
      </c>
    </row>
    <row r="131">
      <c r="A131" s="16">
        <v>137.0</v>
      </c>
      <c r="B131" s="25">
        <v>44852.0</v>
      </c>
      <c r="C131" s="26" t="s">
        <v>391</v>
      </c>
      <c r="D131" s="26" t="s">
        <v>392</v>
      </c>
      <c r="E131" s="26" t="s">
        <v>393</v>
      </c>
    </row>
    <row r="132">
      <c r="A132" s="16">
        <v>138.0</v>
      </c>
      <c r="B132" s="25">
        <v>44853.0</v>
      </c>
      <c r="C132" s="26" t="s">
        <v>394</v>
      </c>
      <c r="D132" s="26" t="s">
        <v>395</v>
      </c>
      <c r="E132" s="26" t="s">
        <v>396</v>
      </c>
    </row>
    <row r="133">
      <c r="A133" s="16">
        <v>139.0</v>
      </c>
      <c r="B133" s="25">
        <v>44853.0</v>
      </c>
      <c r="C133" s="26" t="s">
        <v>397</v>
      </c>
      <c r="D133" s="26" t="s">
        <v>398</v>
      </c>
      <c r="E133" s="26" t="s">
        <v>399</v>
      </c>
    </row>
    <row r="134">
      <c r="A134" s="16">
        <v>140.0</v>
      </c>
      <c r="B134" s="25">
        <v>44856.0</v>
      </c>
      <c r="C134" s="26" t="s">
        <v>400</v>
      </c>
      <c r="D134" s="26" t="s">
        <v>401</v>
      </c>
      <c r="E134" s="26" t="s">
        <v>402</v>
      </c>
    </row>
    <row r="135">
      <c r="A135" s="16">
        <v>141.0</v>
      </c>
      <c r="B135" s="25">
        <v>44858.0</v>
      </c>
      <c r="C135" s="26" t="s">
        <v>403</v>
      </c>
      <c r="D135" s="26" t="s">
        <v>404</v>
      </c>
      <c r="E135" s="26" t="s">
        <v>405</v>
      </c>
    </row>
    <row r="136">
      <c r="A136" s="16">
        <v>142.0</v>
      </c>
      <c r="B136" s="25">
        <v>44858.0</v>
      </c>
      <c r="C136" s="26" t="s">
        <v>406</v>
      </c>
      <c r="D136" s="26" t="s">
        <v>407</v>
      </c>
      <c r="E136" s="26" t="s">
        <v>408</v>
      </c>
    </row>
    <row r="137">
      <c r="A137" s="16">
        <v>143.0</v>
      </c>
      <c r="B137" s="25">
        <v>44858.0</v>
      </c>
      <c r="C137" s="26" t="s">
        <v>409</v>
      </c>
      <c r="D137" s="26" t="s">
        <v>410</v>
      </c>
      <c r="E137" s="26" t="s">
        <v>411</v>
      </c>
    </row>
    <row r="138">
      <c r="A138" s="16">
        <v>144.0</v>
      </c>
      <c r="B138" s="25">
        <v>44858.0</v>
      </c>
      <c r="C138" s="26" t="s">
        <v>412</v>
      </c>
      <c r="D138" s="26" t="s">
        <v>413</v>
      </c>
      <c r="E138" s="26" t="s">
        <v>414</v>
      </c>
    </row>
    <row r="139">
      <c r="A139" s="16">
        <v>145.0</v>
      </c>
      <c r="B139" s="25">
        <v>44859.0</v>
      </c>
      <c r="C139" s="26" t="s">
        <v>415</v>
      </c>
      <c r="D139" s="26" t="s">
        <v>416</v>
      </c>
      <c r="E139" s="26" t="s">
        <v>417</v>
      </c>
    </row>
    <row r="140">
      <c r="A140" s="16">
        <v>146.0</v>
      </c>
      <c r="B140" s="25">
        <v>44860.0</v>
      </c>
      <c r="C140" s="26" t="s">
        <v>418</v>
      </c>
      <c r="D140" s="26" t="s">
        <v>419</v>
      </c>
      <c r="E140" s="26" t="s">
        <v>420</v>
      </c>
    </row>
    <row r="141">
      <c r="A141" s="16">
        <v>147.0</v>
      </c>
      <c r="B141" s="25">
        <v>44860.0</v>
      </c>
      <c r="C141" s="26" t="s">
        <v>421</v>
      </c>
      <c r="D141" s="26" t="s">
        <v>422</v>
      </c>
      <c r="E141" s="26" t="s">
        <v>423</v>
      </c>
    </row>
    <row r="142">
      <c r="A142" s="16">
        <v>148.0</v>
      </c>
      <c r="B142" s="25">
        <v>44861.0</v>
      </c>
      <c r="C142" s="26" t="s">
        <v>424</v>
      </c>
      <c r="D142" s="26" t="s">
        <v>425</v>
      </c>
      <c r="E142" s="26" t="s">
        <v>426</v>
      </c>
    </row>
    <row r="143">
      <c r="A143" s="16">
        <v>149.0</v>
      </c>
      <c r="B143" s="25">
        <v>44863.0</v>
      </c>
      <c r="C143" s="26" t="s">
        <v>427</v>
      </c>
      <c r="D143" s="26" t="s">
        <v>428</v>
      </c>
      <c r="E143" s="26" t="s">
        <v>429</v>
      </c>
    </row>
    <row r="144">
      <c r="A144" s="16">
        <v>150.0</v>
      </c>
      <c r="B144" s="25">
        <v>44864.0</v>
      </c>
      <c r="C144" s="26" t="s">
        <v>430</v>
      </c>
      <c r="D144" s="26" t="s">
        <v>431</v>
      </c>
      <c r="E144" s="26" t="s">
        <v>432</v>
      </c>
    </row>
    <row r="145">
      <c r="A145" s="16">
        <v>151.0</v>
      </c>
      <c r="B145" s="25">
        <v>44865.0</v>
      </c>
      <c r="C145" s="26" t="s">
        <v>433</v>
      </c>
      <c r="D145" s="26" t="s">
        <v>434</v>
      </c>
      <c r="E145" s="26" t="s">
        <v>435</v>
      </c>
    </row>
    <row r="146">
      <c r="A146" s="16">
        <v>152.0</v>
      </c>
      <c r="B146" s="25">
        <v>44866.0</v>
      </c>
      <c r="C146" s="26" t="s">
        <v>436</v>
      </c>
      <c r="D146" s="26" t="s">
        <v>437</v>
      </c>
      <c r="E146" s="26" t="s">
        <v>438</v>
      </c>
    </row>
    <row r="147">
      <c r="A147" s="16">
        <v>153.0</v>
      </c>
      <c r="B147" s="25">
        <v>44866.0</v>
      </c>
      <c r="C147" s="26" t="s">
        <v>439</v>
      </c>
      <c r="D147" s="26" t="s">
        <v>440</v>
      </c>
      <c r="E147" s="26" t="s">
        <v>441</v>
      </c>
    </row>
    <row r="148">
      <c r="A148" s="16">
        <v>154.0</v>
      </c>
      <c r="B148" s="25">
        <v>44867.0</v>
      </c>
      <c r="C148" s="26" t="s">
        <v>442</v>
      </c>
      <c r="D148" s="26" t="s">
        <v>443</v>
      </c>
      <c r="E148" s="26" t="s">
        <v>444</v>
      </c>
    </row>
    <row r="149">
      <c r="A149" s="16">
        <v>155.0</v>
      </c>
      <c r="B149" s="25">
        <v>44874.0</v>
      </c>
      <c r="C149" s="26" t="s">
        <v>445</v>
      </c>
      <c r="D149" s="26" t="s">
        <v>446</v>
      </c>
      <c r="E149" s="26" t="s">
        <v>447</v>
      </c>
    </row>
    <row r="150">
      <c r="A150" s="16">
        <v>156.0</v>
      </c>
      <c r="B150" s="25">
        <v>44874.0</v>
      </c>
      <c r="C150" s="26" t="s">
        <v>448</v>
      </c>
      <c r="D150" s="26" t="s">
        <v>449</v>
      </c>
      <c r="E150" s="26" t="s">
        <v>450</v>
      </c>
    </row>
    <row r="151">
      <c r="A151" s="16">
        <v>157.0</v>
      </c>
      <c r="B151" s="25">
        <v>44874.0</v>
      </c>
      <c r="C151" s="26" t="s">
        <v>451</v>
      </c>
      <c r="D151" s="26" t="s">
        <v>452</v>
      </c>
      <c r="E151" s="26" t="s">
        <v>453</v>
      </c>
    </row>
    <row r="152">
      <c r="A152" s="16">
        <v>158.0</v>
      </c>
      <c r="B152" s="25">
        <v>44875.0</v>
      </c>
      <c r="C152" s="26" t="s">
        <v>454</v>
      </c>
      <c r="D152" s="26" t="s">
        <v>455</v>
      </c>
      <c r="E152" s="26" t="s">
        <v>456</v>
      </c>
    </row>
    <row r="153">
      <c r="A153" s="16">
        <v>159.0</v>
      </c>
      <c r="B153" s="25">
        <v>44876.0</v>
      </c>
      <c r="C153" s="26" t="s">
        <v>457</v>
      </c>
      <c r="D153" s="26" t="s">
        <v>458</v>
      </c>
      <c r="E153" s="26" t="s">
        <v>459</v>
      </c>
    </row>
    <row r="154">
      <c r="A154" s="26">
        <v>160.0</v>
      </c>
      <c r="B154" s="25">
        <v>44879.0</v>
      </c>
      <c r="C154" s="26" t="s">
        <v>460</v>
      </c>
      <c r="D154" s="26" t="s">
        <v>461</v>
      </c>
      <c r="E154" s="26" t="s">
        <v>462</v>
      </c>
    </row>
    <row r="155">
      <c r="A155" s="26">
        <v>161.0</v>
      </c>
      <c r="B155" s="25">
        <v>44879.0</v>
      </c>
      <c r="C155" s="26" t="s">
        <v>463</v>
      </c>
      <c r="D155" s="26" t="s">
        <v>464</v>
      </c>
      <c r="E155" s="26" t="s">
        <v>465</v>
      </c>
    </row>
    <row r="156">
      <c r="A156" s="26">
        <v>162.0</v>
      </c>
      <c r="B156" s="25">
        <v>44880.0</v>
      </c>
      <c r="C156" s="26" t="s">
        <v>466</v>
      </c>
      <c r="D156" s="26" t="s">
        <v>467</v>
      </c>
      <c r="E156" s="26" t="s">
        <v>468</v>
      </c>
    </row>
    <row r="157">
      <c r="A157" s="26">
        <v>163.0</v>
      </c>
      <c r="B157" s="25">
        <v>44881.0</v>
      </c>
      <c r="C157" s="26" t="s">
        <v>469</v>
      </c>
      <c r="D157" s="26" t="s">
        <v>470</v>
      </c>
      <c r="E157" s="26" t="s">
        <v>471</v>
      </c>
    </row>
    <row r="158">
      <c r="A158" s="26">
        <v>164.0</v>
      </c>
      <c r="B158" s="25">
        <v>44883.0</v>
      </c>
      <c r="C158" s="26" t="s">
        <v>472</v>
      </c>
      <c r="D158" s="26" t="s">
        <v>473</v>
      </c>
      <c r="E158" s="26" t="s">
        <v>474</v>
      </c>
    </row>
    <row r="159">
      <c r="A159" s="26">
        <v>165.0</v>
      </c>
      <c r="B159" s="25">
        <v>44884.0</v>
      </c>
      <c r="C159" s="26" t="s">
        <v>475</v>
      </c>
      <c r="D159" s="26" t="s">
        <v>476</v>
      </c>
      <c r="E159" s="26" t="s">
        <v>477</v>
      </c>
    </row>
    <row r="160">
      <c r="A160" s="26">
        <v>166.0</v>
      </c>
      <c r="B160" s="25">
        <v>44884.0</v>
      </c>
      <c r="C160" s="26" t="s">
        <v>478</v>
      </c>
      <c r="D160" s="26" t="s">
        <v>479</v>
      </c>
      <c r="E160" s="26" t="s">
        <v>480</v>
      </c>
    </row>
    <row r="161">
      <c r="A161" s="26">
        <v>167.0</v>
      </c>
      <c r="B161" s="25">
        <v>44885.0</v>
      </c>
      <c r="C161" s="26" t="s">
        <v>481</v>
      </c>
      <c r="D161" s="26" t="s">
        <v>482</v>
      </c>
      <c r="E161" s="26" t="s">
        <v>483</v>
      </c>
    </row>
    <row r="162">
      <c r="A162" s="26">
        <v>168.0</v>
      </c>
      <c r="B162" s="25">
        <v>44885.0</v>
      </c>
      <c r="C162" s="26" t="s">
        <v>484</v>
      </c>
      <c r="D162" s="26" t="s">
        <v>485</v>
      </c>
      <c r="E162" s="26" t="s">
        <v>486</v>
      </c>
    </row>
    <row r="163">
      <c r="A163" s="26">
        <v>169.0</v>
      </c>
      <c r="B163" s="25">
        <v>44886.0</v>
      </c>
      <c r="C163" s="26" t="s">
        <v>487</v>
      </c>
      <c r="D163" s="26" t="s">
        <v>488</v>
      </c>
      <c r="E163" s="26" t="s">
        <v>489</v>
      </c>
    </row>
    <row r="164">
      <c r="A164" s="26">
        <v>170.0</v>
      </c>
      <c r="B164" s="25">
        <v>44892.0</v>
      </c>
      <c r="C164" s="26" t="s">
        <v>490</v>
      </c>
      <c r="D164" s="26" t="s">
        <v>491</v>
      </c>
      <c r="E164" s="26" t="s">
        <v>492</v>
      </c>
    </row>
    <row r="165">
      <c r="A165" s="26">
        <v>171.0</v>
      </c>
      <c r="B165" s="25">
        <v>44892.0</v>
      </c>
      <c r="C165" s="26" t="s">
        <v>493</v>
      </c>
      <c r="D165" s="26" t="s">
        <v>491</v>
      </c>
      <c r="E165" s="26" t="s">
        <v>492</v>
      </c>
    </row>
    <row r="166">
      <c r="A166" s="26">
        <v>172.0</v>
      </c>
      <c r="B166" s="25">
        <v>44893.0</v>
      </c>
      <c r="C166" s="26" t="s">
        <v>494</v>
      </c>
      <c r="D166" s="26" t="s">
        <v>495</v>
      </c>
      <c r="E166" s="26" t="s">
        <v>496</v>
      </c>
    </row>
    <row r="167">
      <c r="A167" s="26">
        <v>173.0</v>
      </c>
      <c r="B167" s="25">
        <v>44894.0</v>
      </c>
      <c r="C167" s="26" t="s">
        <v>497</v>
      </c>
      <c r="D167" s="26" t="s">
        <v>498</v>
      </c>
      <c r="E167" s="26" t="s">
        <v>499</v>
      </c>
    </row>
    <row r="168">
      <c r="A168" s="26">
        <v>174.0</v>
      </c>
      <c r="B168" s="25">
        <v>44894.0</v>
      </c>
      <c r="C168" s="26" t="s">
        <v>500</v>
      </c>
      <c r="D168" s="26" t="s">
        <v>501</v>
      </c>
      <c r="E168" s="26" t="s">
        <v>502</v>
      </c>
    </row>
    <row r="169">
      <c r="A169" s="26">
        <v>175.0</v>
      </c>
      <c r="B169" s="25">
        <v>44894.0</v>
      </c>
      <c r="C169" s="26" t="s">
        <v>503</v>
      </c>
      <c r="D169" s="26" t="s">
        <v>504</v>
      </c>
      <c r="E169" s="26" t="s">
        <v>505</v>
      </c>
    </row>
    <row r="170">
      <c r="A170" s="26">
        <v>176.0</v>
      </c>
      <c r="B170" s="25">
        <v>44894.0</v>
      </c>
      <c r="C170" s="26" t="s">
        <v>506</v>
      </c>
      <c r="D170" s="26" t="s">
        <v>507</v>
      </c>
      <c r="E170" s="26" t="s">
        <v>508</v>
      </c>
    </row>
    <row r="171">
      <c r="A171" s="26">
        <v>177.0</v>
      </c>
      <c r="B171" s="25">
        <v>44895.0</v>
      </c>
      <c r="C171" s="26" t="s">
        <v>509</v>
      </c>
      <c r="D171" s="26" t="s">
        <v>510</v>
      </c>
      <c r="E171" s="26" t="s">
        <v>511</v>
      </c>
    </row>
    <row r="172">
      <c r="A172" s="26">
        <v>178.0</v>
      </c>
      <c r="B172" s="25">
        <v>44895.0</v>
      </c>
      <c r="C172" s="26" t="s">
        <v>512</v>
      </c>
      <c r="D172" s="26" t="s">
        <v>513</v>
      </c>
      <c r="E172" s="26" t="s">
        <v>514</v>
      </c>
    </row>
    <row r="173">
      <c r="A173" s="26">
        <v>179.0</v>
      </c>
      <c r="B173" s="25">
        <v>45264.0</v>
      </c>
      <c r="C173" s="26" t="s">
        <v>515</v>
      </c>
      <c r="D173" s="26" t="s">
        <v>516</v>
      </c>
      <c r="E173" s="26"/>
    </row>
    <row r="174">
      <c r="A174" s="26">
        <v>180.0</v>
      </c>
      <c r="B174" s="25">
        <v>44900.0</v>
      </c>
      <c r="C174" s="26" t="s">
        <v>517</v>
      </c>
      <c r="D174" s="26" t="s">
        <v>518</v>
      </c>
      <c r="E174" s="26" t="s">
        <v>519</v>
      </c>
    </row>
    <row r="175">
      <c r="A175" s="26">
        <v>181.0</v>
      </c>
      <c r="B175" s="25">
        <v>44900.0</v>
      </c>
      <c r="C175" s="26" t="s">
        <v>520</v>
      </c>
      <c r="D175" s="26" t="s">
        <v>521</v>
      </c>
      <c r="E175" s="26" t="s">
        <v>522</v>
      </c>
    </row>
    <row r="176">
      <c r="A176" s="26">
        <v>182.0</v>
      </c>
      <c r="B176" s="25">
        <v>44902.0</v>
      </c>
      <c r="C176" s="26" t="s">
        <v>523</v>
      </c>
      <c r="D176" s="26" t="s">
        <v>524</v>
      </c>
      <c r="E176" s="26" t="s">
        <v>525</v>
      </c>
    </row>
    <row r="177">
      <c r="A177" s="26">
        <v>183.0</v>
      </c>
      <c r="B177" s="25">
        <v>44902.0</v>
      </c>
      <c r="C177" s="26" t="s">
        <v>526</v>
      </c>
      <c r="D177" s="26" t="s">
        <v>527</v>
      </c>
      <c r="E177" s="26" t="s">
        <v>528</v>
      </c>
    </row>
    <row r="178">
      <c r="A178" s="26">
        <v>184.0</v>
      </c>
      <c r="B178" s="25">
        <v>44902.0</v>
      </c>
      <c r="C178" s="26" t="s">
        <v>529</v>
      </c>
      <c r="D178" s="26" t="s">
        <v>530</v>
      </c>
      <c r="E178" s="26" t="s">
        <v>531</v>
      </c>
    </row>
    <row r="179">
      <c r="A179" s="26">
        <v>185.0</v>
      </c>
      <c r="B179" s="25">
        <v>44902.0</v>
      </c>
      <c r="C179" s="26" t="s">
        <v>532</v>
      </c>
      <c r="D179" s="26" t="s">
        <v>533</v>
      </c>
      <c r="E179" s="26" t="s">
        <v>534</v>
      </c>
    </row>
    <row r="180">
      <c r="A180" s="26">
        <v>186.0</v>
      </c>
      <c r="B180" s="25">
        <v>44907.0</v>
      </c>
      <c r="C180" s="26" t="s">
        <v>535</v>
      </c>
      <c r="D180" s="26" t="s">
        <v>536</v>
      </c>
      <c r="E180" s="26"/>
    </row>
    <row r="181">
      <c r="A181" s="26">
        <v>187.0</v>
      </c>
      <c r="B181" s="25">
        <v>44908.0</v>
      </c>
      <c r="C181" s="26" t="s">
        <v>537</v>
      </c>
      <c r="D181" s="26" t="s">
        <v>538</v>
      </c>
      <c r="E181" s="26" t="s">
        <v>539</v>
      </c>
    </row>
    <row r="182">
      <c r="A182" s="26">
        <v>188.0</v>
      </c>
      <c r="B182" s="25">
        <v>44908.0</v>
      </c>
      <c r="C182" s="26" t="s">
        <v>540</v>
      </c>
      <c r="D182" s="26" t="s">
        <v>541</v>
      </c>
      <c r="E182" s="26" t="s">
        <v>542</v>
      </c>
    </row>
    <row r="183">
      <c r="A183" s="26">
        <v>189.0</v>
      </c>
      <c r="B183" s="25">
        <v>44911.0</v>
      </c>
      <c r="C183" s="26" t="s">
        <v>543</v>
      </c>
      <c r="D183" s="26" t="s">
        <v>544</v>
      </c>
      <c r="E183" s="26" t="s">
        <v>545</v>
      </c>
    </row>
    <row r="184">
      <c r="A184" s="26">
        <v>190.0</v>
      </c>
      <c r="B184" s="25">
        <v>44911.0</v>
      </c>
      <c r="C184" s="26" t="s">
        <v>546</v>
      </c>
      <c r="D184" s="26" t="s">
        <v>547</v>
      </c>
      <c r="E184" s="26" t="s">
        <v>548</v>
      </c>
    </row>
    <row r="185">
      <c r="A185" s="26">
        <v>191.0</v>
      </c>
      <c r="B185" s="25">
        <v>44916.0</v>
      </c>
      <c r="C185" s="26" t="s">
        <v>549</v>
      </c>
      <c r="D185" s="26" t="s">
        <v>550</v>
      </c>
      <c r="E185" s="26" t="s">
        <v>551</v>
      </c>
    </row>
    <row r="186">
      <c r="A186" s="26">
        <v>192.0</v>
      </c>
      <c r="B186" s="25">
        <v>44916.0</v>
      </c>
      <c r="C186" s="26" t="s">
        <v>552</v>
      </c>
      <c r="D186" s="26" t="s">
        <v>553</v>
      </c>
      <c r="E186" s="26" t="s">
        <v>554</v>
      </c>
    </row>
    <row r="187">
      <c r="A187" s="26">
        <v>193.0</v>
      </c>
      <c r="B187" s="25">
        <v>44924.0</v>
      </c>
      <c r="C187" s="26" t="s">
        <v>555</v>
      </c>
      <c r="D187" s="26" t="s">
        <v>556</v>
      </c>
      <c r="E187" s="26" t="s">
        <v>557</v>
      </c>
    </row>
    <row r="188">
      <c r="A188" s="26">
        <v>194.0</v>
      </c>
      <c r="B188" s="25">
        <v>44924.0</v>
      </c>
      <c r="C188" s="26" t="s">
        <v>558</v>
      </c>
      <c r="D188" s="26" t="s">
        <v>559</v>
      </c>
      <c r="E188" s="26" t="s">
        <v>560</v>
      </c>
    </row>
    <row r="189">
      <c r="A189" s="26">
        <v>195.0</v>
      </c>
      <c r="B189" s="25">
        <v>44924.0</v>
      </c>
      <c r="C189" s="26" t="s">
        <v>561</v>
      </c>
      <c r="D189" s="26" t="s">
        <v>562</v>
      </c>
      <c r="E189" s="26" t="s">
        <v>563</v>
      </c>
    </row>
    <row r="190">
      <c r="A190" s="26">
        <v>196.0</v>
      </c>
      <c r="B190" s="25">
        <v>44924.0</v>
      </c>
      <c r="C190" s="26" t="s">
        <v>564</v>
      </c>
      <c r="D190" s="26" t="s">
        <v>565</v>
      </c>
      <c r="E190" s="26" t="s">
        <v>566</v>
      </c>
    </row>
    <row r="191">
      <c r="A191" s="26">
        <v>197.0</v>
      </c>
      <c r="B191" s="25">
        <v>45291.0</v>
      </c>
      <c r="C191" s="26" t="s">
        <v>567</v>
      </c>
      <c r="D191" s="26" t="s">
        <v>568</v>
      </c>
      <c r="E191" s="26" t="s">
        <v>569</v>
      </c>
    </row>
    <row r="192">
      <c r="A192" s="26">
        <v>198.0</v>
      </c>
      <c r="B192" s="25">
        <v>44927.0</v>
      </c>
      <c r="C192" s="26" t="s">
        <v>570</v>
      </c>
      <c r="D192" s="26" t="s">
        <v>571</v>
      </c>
      <c r="E192" s="26" t="s">
        <v>572</v>
      </c>
    </row>
    <row r="193">
      <c r="A193" s="26">
        <v>199.0</v>
      </c>
      <c r="B193" s="25">
        <v>44929.0</v>
      </c>
      <c r="C193" s="26" t="s">
        <v>573</v>
      </c>
      <c r="D193" s="26" t="s">
        <v>574</v>
      </c>
      <c r="E193" s="26" t="s">
        <v>575</v>
      </c>
    </row>
    <row r="194">
      <c r="A194" s="26">
        <v>200.0</v>
      </c>
      <c r="B194" s="25">
        <v>44929.0</v>
      </c>
      <c r="C194" s="26" t="s">
        <v>576</v>
      </c>
      <c r="D194" s="26" t="s">
        <v>577</v>
      </c>
      <c r="E194" s="26" t="s">
        <v>578</v>
      </c>
    </row>
    <row r="195">
      <c r="A195" s="26">
        <v>201.0</v>
      </c>
      <c r="B195" s="25">
        <v>44929.0</v>
      </c>
      <c r="C195" s="26" t="s">
        <v>579</v>
      </c>
      <c r="D195" s="26" t="s">
        <v>580</v>
      </c>
      <c r="E195" s="26" t="s">
        <v>581</v>
      </c>
    </row>
    <row r="196">
      <c r="A196" s="26">
        <v>202.0</v>
      </c>
      <c r="B196" s="25">
        <v>44932.0</v>
      </c>
      <c r="C196" s="26" t="s">
        <v>582</v>
      </c>
      <c r="D196" s="26" t="s">
        <v>583</v>
      </c>
      <c r="E196" s="26" t="s">
        <v>584</v>
      </c>
    </row>
    <row r="197">
      <c r="A197" s="26">
        <v>203.0</v>
      </c>
      <c r="B197" s="25">
        <v>44932.0</v>
      </c>
      <c r="C197" s="26" t="s">
        <v>585</v>
      </c>
      <c r="D197" s="26" t="s">
        <v>586</v>
      </c>
      <c r="E197" s="26" t="s">
        <v>587</v>
      </c>
    </row>
    <row r="198">
      <c r="A198" s="26">
        <v>204.0</v>
      </c>
      <c r="B198" s="25">
        <v>44933.0</v>
      </c>
      <c r="C198" s="26" t="s">
        <v>588</v>
      </c>
      <c r="D198" s="26" t="s">
        <v>589</v>
      </c>
      <c r="E198" s="26" t="s">
        <v>590</v>
      </c>
    </row>
    <row r="199">
      <c r="A199" s="26">
        <v>205.0</v>
      </c>
      <c r="B199" s="25">
        <v>44935.0</v>
      </c>
      <c r="C199" s="26" t="s">
        <v>591</v>
      </c>
      <c r="D199" s="26" t="s">
        <v>592</v>
      </c>
      <c r="E199" s="26" t="s">
        <v>593</v>
      </c>
    </row>
    <row r="200">
      <c r="A200" s="26">
        <v>206.0</v>
      </c>
      <c r="B200" s="25">
        <v>44935.0</v>
      </c>
      <c r="C200" s="26" t="s">
        <v>594</v>
      </c>
      <c r="D200" s="26" t="s">
        <v>595</v>
      </c>
      <c r="E200" s="26" t="s">
        <v>596</v>
      </c>
    </row>
    <row r="201">
      <c r="A201" s="26">
        <v>207.0</v>
      </c>
      <c r="B201" s="25">
        <v>44935.0</v>
      </c>
      <c r="C201" s="26" t="s">
        <v>597</v>
      </c>
      <c r="D201" s="26" t="s">
        <v>598</v>
      </c>
      <c r="E201" s="26" t="s">
        <v>599</v>
      </c>
    </row>
    <row r="202">
      <c r="A202" s="26">
        <v>208.0</v>
      </c>
      <c r="B202" s="25">
        <v>44937.0</v>
      </c>
      <c r="C202" s="26" t="s">
        <v>600</v>
      </c>
      <c r="D202" s="26" t="s">
        <v>601</v>
      </c>
      <c r="E202" s="26" t="s">
        <v>602</v>
      </c>
    </row>
    <row r="203">
      <c r="A203" s="26">
        <v>209.0</v>
      </c>
      <c r="B203" s="25">
        <v>44939.0</v>
      </c>
      <c r="C203" s="26" t="s">
        <v>603</v>
      </c>
      <c r="D203" s="26" t="s">
        <v>604</v>
      </c>
      <c r="E203" s="26" t="s">
        <v>605</v>
      </c>
    </row>
    <row r="204">
      <c r="A204" s="26">
        <v>210.0</v>
      </c>
      <c r="B204" s="25">
        <v>44939.0</v>
      </c>
      <c r="C204" s="26" t="s">
        <v>606</v>
      </c>
      <c r="D204" s="26" t="s">
        <v>607</v>
      </c>
      <c r="E204" s="26" t="s">
        <v>608</v>
      </c>
    </row>
    <row r="205">
      <c r="A205" s="26">
        <v>211.0</v>
      </c>
      <c r="B205" s="25">
        <v>44941.0</v>
      </c>
      <c r="C205" s="26" t="s">
        <v>609</v>
      </c>
      <c r="D205" s="26" t="s">
        <v>610</v>
      </c>
      <c r="E205" s="26" t="s">
        <v>611</v>
      </c>
    </row>
    <row r="206">
      <c r="A206" s="26">
        <v>212.0</v>
      </c>
      <c r="B206" s="25">
        <v>44943.0</v>
      </c>
      <c r="C206" s="26" t="s">
        <v>612</v>
      </c>
      <c r="D206" s="26" t="s">
        <v>613</v>
      </c>
      <c r="E206" s="26" t="s">
        <v>614</v>
      </c>
    </row>
    <row r="207">
      <c r="A207" s="26">
        <v>213.0</v>
      </c>
      <c r="B207" s="25">
        <v>44943.0</v>
      </c>
      <c r="C207" s="26" t="s">
        <v>615</v>
      </c>
      <c r="D207" s="26" t="s">
        <v>616</v>
      </c>
      <c r="E207" s="26" t="s">
        <v>617</v>
      </c>
    </row>
    <row r="208">
      <c r="A208" s="26">
        <v>216.0</v>
      </c>
      <c r="B208" s="25">
        <v>44944.0</v>
      </c>
      <c r="C208" s="26" t="s">
        <v>618</v>
      </c>
      <c r="D208" s="26" t="s">
        <v>619</v>
      </c>
      <c r="E208" s="26" t="s">
        <v>620</v>
      </c>
    </row>
    <row r="209">
      <c r="A209" s="26">
        <v>217.0</v>
      </c>
      <c r="B209" s="25">
        <v>44944.0</v>
      </c>
      <c r="C209" s="26" t="s">
        <v>621</v>
      </c>
      <c r="D209" s="26" t="s">
        <v>622</v>
      </c>
      <c r="E209" s="26" t="s">
        <v>623</v>
      </c>
    </row>
    <row r="210">
      <c r="A210" s="26">
        <v>218.0</v>
      </c>
      <c r="B210" s="25">
        <v>44945.0</v>
      </c>
      <c r="C210" s="26" t="s">
        <v>624</v>
      </c>
      <c r="D210" s="26" t="s">
        <v>625</v>
      </c>
      <c r="E210" s="26" t="s">
        <v>626</v>
      </c>
    </row>
    <row r="211">
      <c r="A211" s="26">
        <v>219.0</v>
      </c>
      <c r="B211" s="25">
        <v>44949.0</v>
      </c>
      <c r="C211" s="26" t="s">
        <v>627</v>
      </c>
      <c r="D211" s="26" t="s">
        <v>628</v>
      </c>
      <c r="E211" s="26" t="s">
        <v>629</v>
      </c>
    </row>
    <row r="212">
      <c r="A212" s="26">
        <v>220.0</v>
      </c>
      <c r="B212" s="25">
        <v>44949.0</v>
      </c>
      <c r="C212" s="26" t="s">
        <v>630</v>
      </c>
      <c r="D212" s="26" t="s">
        <v>631</v>
      </c>
      <c r="E212" s="26" t="s">
        <v>632</v>
      </c>
    </row>
    <row r="213">
      <c r="A213" s="26">
        <v>221.0</v>
      </c>
      <c r="B213" s="25">
        <v>44950.0</v>
      </c>
      <c r="C213" s="26" t="s">
        <v>633</v>
      </c>
      <c r="D213" s="26" t="s">
        <v>634</v>
      </c>
      <c r="E213" s="26" t="s">
        <v>635</v>
      </c>
    </row>
    <row r="214">
      <c r="A214" s="26">
        <v>222.0</v>
      </c>
      <c r="B214" s="25">
        <v>44951.0</v>
      </c>
      <c r="C214" s="26" t="s">
        <v>636</v>
      </c>
      <c r="D214" s="26" t="s">
        <v>637</v>
      </c>
      <c r="E214" s="26" t="s">
        <v>638</v>
      </c>
    </row>
    <row r="215">
      <c r="A215" s="26">
        <v>223.0</v>
      </c>
      <c r="B215" s="25">
        <v>44951.0</v>
      </c>
      <c r="C215" s="26" t="s">
        <v>639</v>
      </c>
      <c r="D215" s="26" t="s">
        <v>640</v>
      </c>
      <c r="E215" s="26" t="s">
        <v>641</v>
      </c>
    </row>
    <row r="216">
      <c r="A216" s="26">
        <v>224.0</v>
      </c>
      <c r="B216" s="25">
        <v>44952.0</v>
      </c>
      <c r="C216" s="26" t="s">
        <v>642</v>
      </c>
      <c r="D216" s="26" t="s">
        <v>643</v>
      </c>
      <c r="E216" s="26" t="s">
        <v>644</v>
      </c>
    </row>
    <row r="217">
      <c r="A217" s="26">
        <v>226.0</v>
      </c>
      <c r="B217" s="25">
        <v>44953.0</v>
      </c>
      <c r="C217" s="26" t="s">
        <v>645</v>
      </c>
      <c r="D217" s="26" t="s">
        <v>646</v>
      </c>
      <c r="E217" s="26" t="s">
        <v>647</v>
      </c>
    </row>
    <row r="218">
      <c r="A218" s="26">
        <v>227.0</v>
      </c>
      <c r="B218" s="25">
        <v>44956.0</v>
      </c>
      <c r="C218" s="26" t="s">
        <v>648</v>
      </c>
      <c r="D218" s="26" t="s">
        <v>649</v>
      </c>
      <c r="E218" s="26" t="s">
        <v>650</v>
      </c>
    </row>
    <row r="219">
      <c r="A219" s="26">
        <v>228.0</v>
      </c>
      <c r="B219" s="25">
        <v>44956.0</v>
      </c>
      <c r="C219" s="26" t="s">
        <v>651</v>
      </c>
      <c r="D219" s="26" t="s">
        <v>652</v>
      </c>
      <c r="E219" s="26" t="s">
        <v>653</v>
      </c>
    </row>
    <row r="220">
      <c r="A220" s="26">
        <v>229.0</v>
      </c>
      <c r="B220" s="25">
        <v>44956.0</v>
      </c>
      <c r="C220" s="26" t="s">
        <v>654</v>
      </c>
      <c r="D220" s="26" t="s">
        <v>655</v>
      </c>
      <c r="E220" s="26" t="s">
        <v>656</v>
      </c>
    </row>
    <row r="221">
      <c r="A221" s="26">
        <v>230.0</v>
      </c>
      <c r="B221" s="25">
        <v>44958.0</v>
      </c>
      <c r="C221" s="26" t="s">
        <v>657</v>
      </c>
      <c r="D221" s="26" t="s">
        <v>658</v>
      </c>
      <c r="E221" s="26" t="s">
        <v>659</v>
      </c>
    </row>
    <row r="222">
      <c r="A222" s="26">
        <v>231.0</v>
      </c>
      <c r="B222" s="25">
        <v>44960.0</v>
      </c>
      <c r="C222" s="26" t="s">
        <v>660</v>
      </c>
      <c r="D222" s="26" t="s">
        <v>661</v>
      </c>
      <c r="E222" s="26" t="s">
        <v>662</v>
      </c>
    </row>
    <row r="223">
      <c r="A223" s="26">
        <v>232.0</v>
      </c>
      <c r="B223" s="25">
        <v>44961.0</v>
      </c>
      <c r="C223" s="26" t="s">
        <v>663</v>
      </c>
      <c r="D223" s="26" t="s">
        <v>664</v>
      </c>
      <c r="E223" s="26" t="s">
        <v>665</v>
      </c>
    </row>
    <row r="224">
      <c r="A224" s="26">
        <v>233.0</v>
      </c>
      <c r="B224" s="25">
        <v>44964.0</v>
      </c>
      <c r="C224" s="26" t="s">
        <v>666</v>
      </c>
      <c r="D224" s="26" t="s">
        <v>667</v>
      </c>
      <c r="E224" s="26" t="s">
        <v>668</v>
      </c>
    </row>
    <row r="225">
      <c r="A225" s="26">
        <v>234.0</v>
      </c>
      <c r="B225" s="25">
        <v>44965.0</v>
      </c>
      <c r="C225" s="26" t="s">
        <v>669</v>
      </c>
      <c r="D225" s="26" t="s">
        <v>670</v>
      </c>
      <c r="E225" s="26" t="s">
        <v>671</v>
      </c>
    </row>
    <row r="226">
      <c r="A226" s="26">
        <v>235.0</v>
      </c>
      <c r="B226" s="25">
        <v>44965.0</v>
      </c>
      <c r="C226" s="26" t="s">
        <v>672</v>
      </c>
      <c r="D226" s="26" t="s">
        <v>673</v>
      </c>
      <c r="E226" s="26" t="s">
        <v>674</v>
      </c>
    </row>
    <row r="227">
      <c r="A227" s="26">
        <v>236.0</v>
      </c>
      <c r="B227" s="25">
        <v>44967.0</v>
      </c>
      <c r="C227" s="26" t="s">
        <v>675</v>
      </c>
      <c r="D227" s="29" t="s">
        <v>676</v>
      </c>
      <c r="E227" s="26" t="s">
        <v>677</v>
      </c>
    </row>
    <row r="228">
      <c r="A228" s="26">
        <v>237.0</v>
      </c>
      <c r="B228" s="25">
        <v>44967.0</v>
      </c>
      <c r="C228" s="26" t="s">
        <v>678</v>
      </c>
      <c r="D228" s="29" t="s">
        <v>679</v>
      </c>
      <c r="E228" s="26" t="s">
        <v>680</v>
      </c>
    </row>
    <row r="229">
      <c r="A229" s="26">
        <v>238.0</v>
      </c>
      <c r="B229" s="25">
        <v>44967.0</v>
      </c>
      <c r="C229" s="26" t="s">
        <v>681</v>
      </c>
      <c r="D229" s="26" t="s">
        <v>682</v>
      </c>
      <c r="E229" s="26" t="s">
        <v>683</v>
      </c>
    </row>
    <row r="230">
      <c r="A230" s="26">
        <v>239.0</v>
      </c>
      <c r="B230" s="25">
        <v>44971.0</v>
      </c>
      <c r="C230" s="26" t="s">
        <v>684</v>
      </c>
      <c r="D230" s="26" t="s">
        <v>685</v>
      </c>
      <c r="E230" s="26" t="s">
        <v>686</v>
      </c>
    </row>
    <row r="231">
      <c r="A231" s="26">
        <v>240.0</v>
      </c>
      <c r="B231" s="25">
        <v>44972.0</v>
      </c>
      <c r="C231" s="26" t="s">
        <v>687</v>
      </c>
      <c r="D231" s="26" t="s">
        <v>688</v>
      </c>
      <c r="E231" s="26" t="s">
        <v>689</v>
      </c>
    </row>
    <row r="232">
      <c r="A232" s="26">
        <v>241.0</v>
      </c>
      <c r="B232" s="25">
        <v>44973.0</v>
      </c>
      <c r="C232" s="26" t="s">
        <v>690</v>
      </c>
      <c r="D232" s="26" t="s">
        <v>691</v>
      </c>
      <c r="E232" s="26" t="s">
        <v>692</v>
      </c>
    </row>
    <row r="233">
      <c r="A233" s="26">
        <v>242.0</v>
      </c>
      <c r="B233" s="25">
        <v>44974.0</v>
      </c>
      <c r="C233" s="26" t="s">
        <v>693</v>
      </c>
      <c r="D233" s="26" t="s">
        <v>694</v>
      </c>
      <c r="E233" s="26" t="s">
        <v>695</v>
      </c>
    </row>
    <row r="234">
      <c r="A234" s="26">
        <v>243.0</v>
      </c>
      <c r="B234" s="25">
        <v>44978.0</v>
      </c>
      <c r="C234" s="26" t="s">
        <v>696</v>
      </c>
      <c r="D234" s="26" t="s">
        <v>697</v>
      </c>
      <c r="E234" s="26" t="s">
        <v>698</v>
      </c>
    </row>
    <row r="235">
      <c r="A235" s="26">
        <v>244.0</v>
      </c>
      <c r="B235" s="25">
        <v>44978.0</v>
      </c>
      <c r="C235" s="26" t="s">
        <v>699</v>
      </c>
      <c r="D235" s="26" t="s">
        <v>700</v>
      </c>
      <c r="E235" s="26" t="s">
        <v>701</v>
      </c>
    </row>
    <row r="236">
      <c r="A236" s="26">
        <v>245.0</v>
      </c>
      <c r="B236" s="25">
        <v>44979.0</v>
      </c>
      <c r="C236" s="26" t="s">
        <v>702</v>
      </c>
      <c r="D236" s="26" t="s">
        <v>703</v>
      </c>
      <c r="E236" s="26" t="s">
        <v>704</v>
      </c>
    </row>
    <row r="237">
      <c r="A237" s="26">
        <v>246.0</v>
      </c>
      <c r="B237" s="25">
        <v>44981.0</v>
      </c>
      <c r="C237" s="26" t="s">
        <v>705</v>
      </c>
      <c r="D237" s="26" t="s">
        <v>706</v>
      </c>
      <c r="E237" s="26" t="s">
        <v>707</v>
      </c>
    </row>
    <row r="238">
      <c r="A238" s="26">
        <v>247.0</v>
      </c>
      <c r="B238" s="25">
        <v>44981.0</v>
      </c>
      <c r="C238" s="26" t="s">
        <v>708</v>
      </c>
      <c r="D238" s="26" t="s">
        <v>709</v>
      </c>
      <c r="E238" s="26" t="s">
        <v>710</v>
      </c>
    </row>
    <row r="239">
      <c r="A239" s="26">
        <v>248.0</v>
      </c>
      <c r="B239" s="25">
        <v>44984.0</v>
      </c>
      <c r="C239" s="26" t="s">
        <v>711</v>
      </c>
      <c r="D239" s="26" t="s">
        <v>712</v>
      </c>
      <c r="E239" s="26" t="s">
        <v>713</v>
      </c>
    </row>
    <row r="240">
      <c r="A240" s="26">
        <v>249.0</v>
      </c>
      <c r="B240" s="25">
        <v>44984.0</v>
      </c>
      <c r="C240" s="26" t="s">
        <v>714</v>
      </c>
      <c r="D240" s="26" t="s">
        <v>715</v>
      </c>
      <c r="E240" s="26" t="s">
        <v>716</v>
      </c>
    </row>
    <row r="241">
      <c r="A241" s="26">
        <v>250.0</v>
      </c>
      <c r="B241" s="25">
        <v>44986.0</v>
      </c>
      <c r="C241" s="26" t="s">
        <v>717</v>
      </c>
      <c r="D241" s="26" t="s">
        <v>718</v>
      </c>
      <c r="E241" s="26" t="s">
        <v>719</v>
      </c>
    </row>
    <row r="242">
      <c r="A242" s="26">
        <v>251.0</v>
      </c>
      <c r="B242" s="25">
        <v>44987.0</v>
      </c>
      <c r="C242" s="26" t="s">
        <v>720</v>
      </c>
      <c r="D242" s="26" t="s">
        <v>721</v>
      </c>
      <c r="E242" s="26" t="s">
        <v>722</v>
      </c>
    </row>
    <row r="243">
      <c r="A243" s="26">
        <v>252.0</v>
      </c>
      <c r="B243" s="25">
        <v>44991.0</v>
      </c>
      <c r="C243" s="26" t="s">
        <v>723</v>
      </c>
      <c r="D243" s="26" t="s">
        <v>724</v>
      </c>
      <c r="E243" s="26" t="s">
        <v>725</v>
      </c>
    </row>
    <row r="244">
      <c r="A244" s="26">
        <v>253.0</v>
      </c>
      <c r="B244" s="25">
        <v>44991.0</v>
      </c>
      <c r="C244" s="26" t="s">
        <v>726</v>
      </c>
      <c r="D244" s="26" t="s">
        <v>727</v>
      </c>
      <c r="E244" s="26" t="s">
        <v>728</v>
      </c>
    </row>
    <row r="245">
      <c r="A245" s="26">
        <v>254.0</v>
      </c>
      <c r="B245" s="25">
        <v>44993.0</v>
      </c>
      <c r="C245" s="26" t="s">
        <v>729</v>
      </c>
      <c r="D245" s="26" t="s">
        <v>730</v>
      </c>
      <c r="E245" s="26" t="s">
        <v>731</v>
      </c>
    </row>
    <row r="246">
      <c r="A246" s="26">
        <v>255.0</v>
      </c>
      <c r="B246" s="25">
        <v>44993.0</v>
      </c>
      <c r="C246" s="26" t="s">
        <v>732</v>
      </c>
      <c r="D246" s="26" t="s">
        <v>733</v>
      </c>
      <c r="E246" s="26" t="s">
        <v>734</v>
      </c>
    </row>
    <row r="247">
      <c r="A247" s="26">
        <v>256.0</v>
      </c>
      <c r="B247" s="25">
        <v>44994.0</v>
      </c>
      <c r="C247" s="26" t="s">
        <v>735</v>
      </c>
      <c r="D247" s="26" t="s">
        <v>736</v>
      </c>
      <c r="E247" s="26" t="s">
        <v>737</v>
      </c>
    </row>
    <row r="248">
      <c r="A248" s="26">
        <v>257.0</v>
      </c>
      <c r="B248" s="25">
        <v>44994.0</v>
      </c>
      <c r="C248" s="26" t="s">
        <v>738</v>
      </c>
      <c r="D248" s="26" t="s">
        <v>739</v>
      </c>
      <c r="E248" s="26" t="s">
        <v>740</v>
      </c>
    </row>
    <row r="249">
      <c r="A249" s="26">
        <v>258.0</v>
      </c>
      <c r="B249" s="25">
        <v>44995.0</v>
      </c>
      <c r="C249" s="26" t="s">
        <v>741</v>
      </c>
      <c r="D249" s="26" t="s">
        <v>742</v>
      </c>
      <c r="E249" s="26" t="s">
        <v>743</v>
      </c>
    </row>
    <row r="250">
      <c r="A250" s="26">
        <v>259.0</v>
      </c>
      <c r="B250" s="25">
        <v>44996.0</v>
      </c>
      <c r="C250" s="26" t="s">
        <v>744</v>
      </c>
      <c r="D250" s="26" t="s">
        <v>745</v>
      </c>
      <c r="E250" s="26" t="s">
        <v>746</v>
      </c>
    </row>
    <row r="251">
      <c r="A251" s="26">
        <v>260.0</v>
      </c>
      <c r="B251" s="25">
        <v>44996.0</v>
      </c>
      <c r="C251" s="26" t="s">
        <v>747</v>
      </c>
      <c r="D251" s="26" t="s">
        <v>748</v>
      </c>
      <c r="E251" s="26" t="s">
        <v>749</v>
      </c>
    </row>
    <row r="252">
      <c r="A252" s="26">
        <v>261.0</v>
      </c>
      <c r="B252" s="25">
        <v>44997.0</v>
      </c>
      <c r="C252" s="26" t="s">
        <v>750</v>
      </c>
      <c r="D252" s="30" t="s">
        <v>751</v>
      </c>
      <c r="E252" s="26" t="s">
        <v>752</v>
      </c>
    </row>
    <row r="253">
      <c r="A253" s="26">
        <v>262.0</v>
      </c>
      <c r="B253" s="25">
        <v>44997.0</v>
      </c>
      <c r="C253" s="26" t="s">
        <v>753</v>
      </c>
      <c r="D253" s="26" t="s">
        <v>754</v>
      </c>
      <c r="E253" s="26" t="s">
        <v>755</v>
      </c>
    </row>
    <row r="254">
      <c r="A254" s="26">
        <v>263.0</v>
      </c>
      <c r="B254" s="25">
        <v>45001.0</v>
      </c>
      <c r="C254" s="26" t="s">
        <v>756</v>
      </c>
      <c r="D254" s="26" t="s">
        <v>757</v>
      </c>
      <c r="E254" s="26" t="s">
        <v>758</v>
      </c>
    </row>
    <row r="255">
      <c r="A255" s="26">
        <v>264.0</v>
      </c>
      <c r="B255" s="25">
        <v>45002.0</v>
      </c>
      <c r="C255" s="26" t="s">
        <v>759</v>
      </c>
      <c r="D255" s="26" t="s">
        <v>760</v>
      </c>
      <c r="E255" s="26" t="s">
        <v>761</v>
      </c>
    </row>
    <row r="256">
      <c r="A256" s="26">
        <v>265.0</v>
      </c>
      <c r="B256" s="25">
        <v>45005.0</v>
      </c>
      <c r="C256" s="26" t="s">
        <v>762</v>
      </c>
      <c r="D256" s="26" t="s">
        <v>763</v>
      </c>
      <c r="E256" s="26" t="s">
        <v>764</v>
      </c>
    </row>
    <row r="257">
      <c r="A257" s="26">
        <v>266.0</v>
      </c>
      <c r="B257" s="25">
        <v>45007.0</v>
      </c>
      <c r="C257" s="26" t="s">
        <v>765</v>
      </c>
      <c r="D257" s="26" t="s">
        <v>766</v>
      </c>
      <c r="E257" s="26" t="s">
        <v>767</v>
      </c>
    </row>
    <row r="258">
      <c r="A258" s="26">
        <v>267.0</v>
      </c>
      <c r="B258" s="25">
        <v>45008.0</v>
      </c>
      <c r="C258" s="26" t="s">
        <v>768</v>
      </c>
      <c r="D258" s="26" t="s">
        <v>769</v>
      </c>
      <c r="E258" s="26" t="s">
        <v>770</v>
      </c>
    </row>
    <row r="259">
      <c r="A259" s="26">
        <v>268.0</v>
      </c>
      <c r="B259" s="25">
        <v>45008.0</v>
      </c>
      <c r="C259" s="26" t="s">
        <v>771</v>
      </c>
      <c r="D259" s="26" t="s">
        <v>772</v>
      </c>
      <c r="E259" s="26" t="s">
        <v>773</v>
      </c>
    </row>
    <row r="260">
      <c r="A260" s="26">
        <v>269.0</v>
      </c>
      <c r="B260" s="25">
        <v>45009.0</v>
      </c>
      <c r="C260" s="26" t="s">
        <v>774</v>
      </c>
      <c r="D260" s="26" t="s">
        <v>775</v>
      </c>
      <c r="E260" s="26" t="s">
        <v>776</v>
      </c>
    </row>
    <row r="261">
      <c r="A261" s="26">
        <v>270.0</v>
      </c>
      <c r="B261" s="25">
        <v>45009.0</v>
      </c>
      <c r="C261" s="26" t="s">
        <v>777</v>
      </c>
      <c r="D261" s="26" t="s">
        <v>778</v>
      </c>
      <c r="E261" s="26" t="s">
        <v>779</v>
      </c>
    </row>
    <row r="262">
      <c r="A262" s="26">
        <v>271.0</v>
      </c>
      <c r="B262" s="25">
        <v>45009.0</v>
      </c>
      <c r="C262" s="26" t="s">
        <v>780</v>
      </c>
      <c r="D262" s="26" t="s">
        <v>781</v>
      </c>
      <c r="E262" s="26" t="s">
        <v>782</v>
      </c>
    </row>
    <row r="263">
      <c r="A263" s="26">
        <v>272.0</v>
      </c>
      <c r="B263" s="25">
        <v>45013.0</v>
      </c>
      <c r="C263" s="26" t="s">
        <v>783</v>
      </c>
      <c r="D263" s="26" t="s">
        <v>784</v>
      </c>
      <c r="E263" s="26" t="s">
        <v>785</v>
      </c>
    </row>
    <row r="264">
      <c r="A264" s="26">
        <v>273.0</v>
      </c>
      <c r="B264" s="25">
        <v>45013.0</v>
      </c>
      <c r="C264" s="26" t="s">
        <v>786</v>
      </c>
      <c r="D264" s="26" t="s">
        <v>787</v>
      </c>
      <c r="E264" s="26" t="s">
        <v>788</v>
      </c>
    </row>
    <row r="265">
      <c r="A265" s="26">
        <v>274.0</v>
      </c>
      <c r="B265" s="25">
        <v>45014.0</v>
      </c>
      <c r="C265" s="26" t="s">
        <v>789</v>
      </c>
      <c r="D265" s="26" t="s">
        <v>790</v>
      </c>
      <c r="E265" s="26" t="s">
        <v>791</v>
      </c>
    </row>
    <row r="266">
      <c r="A266" s="26">
        <v>275.0</v>
      </c>
      <c r="B266" s="25">
        <v>45015.0</v>
      </c>
      <c r="C266" s="26" t="s">
        <v>792</v>
      </c>
      <c r="D266" s="26" t="s">
        <v>793</v>
      </c>
      <c r="E266" s="26" t="s">
        <v>794</v>
      </c>
    </row>
    <row r="267">
      <c r="A267" s="26">
        <v>276.0</v>
      </c>
      <c r="B267" s="25">
        <v>45015.0</v>
      </c>
      <c r="C267" s="26" t="s">
        <v>795</v>
      </c>
      <c r="D267" s="26" t="s">
        <v>796</v>
      </c>
      <c r="E267" s="30" t="s">
        <v>797</v>
      </c>
    </row>
    <row r="268">
      <c r="A268" s="26">
        <v>277.0</v>
      </c>
      <c r="B268" s="25">
        <v>45019.0</v>
      </c>
      <c r="C268" s="26" t="s">
        <v>798</v>
      </c>
      <c r="D268" s="26" t="s">
        <v>799</v>
      </c>
      <c r="E268" s="26" t="s">
        <v>800</v>
      </c>
    </row>
    <row r="269">
      <c r="A269" s="26">
        <v>278.0</v>
      </c>
      <c r="B269" s="25">
        <v>45019.0</v>
      </c>
      <c r="C269" s="26" t="s">
        <v>801</v>
      </c>
      <c r="D269" s="26" t="s">
        <v>802</v>
      </c>
      <c r="E269" s="26" t="s">
        <v>803</v>
      </c>
    </row>
    <row r="270">
      <c r="A270" s="26">
        <v>279.0</v>
      </c>
      <c r="B270" s="25">
        <v>45020.0</v>
      </c>
      <c r="C270" s="26" t="s">
        <v>804</v>
      </c>
      <c r="D270" s="26" t="s">
        <v>805</v>
      </c>
      <c r="E270" s="26" t="s">
        <v>806</v>
      </c>
    </row>
    <row r="271">
      <c r="A271" s="26">
        <v>280.0</v>
      </c>
      <c r="B271" s="25">
        <v>45020.0</v>
      </c>
      <c r="C271" s="26" t="s">
        <v>807</v>
      </c>
      <c r="D271" s="26" t="s">
        <v>808</v>
      </c>
      <c r="E271" s="26" t="s">
        <v>809</v>
      </c>
    </row>
    <row r="272">
      <c r="A272" s="26">
        <v>281.0</v>
      </c>
      <c r="B272" s="25">
        <v>45021.0</v>
      </c>
      <c r="C272" s="26" t="s">
        <v>810</v>
      </c>
      <c r="D272" s="26" t="s">
        <v>811</v>
      </c>
      <c r="E272" s="26" t="s">
        <v>812</v>
      </c>
    </row>
    <row r="273">
      <c r="A273" s="26">
        <v>282.0</v>
      </c>
      <c r="B273" s="25">
        <v>45021.0</v>
      </c>
      <c r="C273" s="26" t="s">
        <v>813</v>
      </c>
      <c r="D273" s="26" t="s">
        <v>814</v>
      </c>
      <c r="E273" s="26" t="s">
        <v>815</v>
      </c>
    </row>
    <row r="274">
      <c r="A274" s="26">
        <v>283.0</v>
      </c>
      <c r="B274" s="25">
        <v>45021.0</v>
      </c>
      <c r="C274" s="26" t="s">
        <v>816</v>
      </c>
      <c r="D274" s="26" t="s">
        <v>817</v>
      </c>
      <c r="E274" s="26" t="s">
        <v>818</v>
      </c>
    </row>
    <row r="275">
      <c r="A275" s="26">
        <v>284.0</v>
      </c>
      <c r="B275" s="25">
        <v>45026.0</v>
      </c>
      <c r="C275" s="26" t="s">
        <v>819</v>
      </c>
      <c r="D275" s="26" t="s">
        <v>820</v>
      </c>
      <c r="E275" s="26" t="s">
        <v>821</v>
      </c>
    </row>
    <row r="276">
      <c r="A276" s="26">
        <v>285.0</v>
      </c>
      <c r="B276" s="25">
        <v>45026.0</v>
      </c>
      <c r="C276" s="26" t="s">
        <v>822</v>
      </c>
      <c r="D276" s="26" t="s">
        <v>823</v>
      </c>
      <c r="E276" s="26" t="s">
        <v>824</v>
      </c>
    </row>
    <row r="277">
      <c r="A277" s="26">
        <v>286.0</v>
      </c>
      <c r="B277" s="25">
        <v>45027.0</v>
      </c>
      <c r="C277" s="26" t="s">
        <v>825</v>
      </c>
      <c r="D277" s="26" t="s">
        <v>826</v>
      </c>
      <c r="E277" s="26" t="s">
        <v>827</v>
      </c>
    </row>
    <row r="278">
      <c r="A278" s="26">
        <v>287.0</v>
      </c>
      <c r="B278" s="25">
        <v>45029.0</v>
      </c>
      <c r="C278" s="26" t="s">
        <v>828</v>
      </c>
      <c r="D278" s="26" t="s">
        <v>829</v>
      </c>
      <c r="E278" s="26" t="s">
        <v>830</v>
      </c>
    </row>
    <row r="279">
      <c r="A279" s="26">
        <v>288.0</v>
      </c>
      <c r="B279" s="25">
        <v>45029.0</v>
      </c>
      <c r="C279" s="26" t="s">
        <v>831</v>
      </c>
      <c r="D279" s="26" t="s">
        <v>832</v>
      </c>
      <c r="E279" s="26" t="s">
        <v>833</v>
      </c>
    </row>
    <row r="280">
      <c r="A280" s="26">
        <v>289.0</v>
      </c>
      <c r="B280" s="25">
        <v>45032.0</v>
      </c>
      <c r="C280" s="26" t="s">
        <v>834</v>
      </c>
      <c r="D280" s="26" t="s">
        <v>835</v>
      </c>
      <c r="E280" s="26" t="s">
        <v>836</v>
      </c>
    </row>
    <row r="281">
      <c r="A281" s="26">
        <v>290.0</v>
      </c>
      <c r="B281" s="25">
        <v>45034.0</v>
      </c>
      <c r="C281" s="26" t="s">
        <v>837</v>
      </c>
      <c r="D281" s="26" t="s">
        <v>838</v>
      </c>
      <c r="E281" s="26" t="s">
        <v>839</v>
      </c>
    </row>
    <row r="282" hidden="1">
      <c r="A282" s="26">
        <v>291.0</v>
      </c>
      <c r="B282" s="25">
        <v>45034.0</v>
      </c>
      <c r="C282" s="26" t="s">
        <v>840</v>
      </c>
      <c r="D282" s="26" t="s">
        <v>841</v>
      </c>
      <c r="E282" s="26" t="s">
        <v>842</v>
      </c>
    </row>
    <row r="283">
      <c r="A283" s="26">
        <v>292.0</v>
      </c>
      <c r="B283" s="25">
        <v>45035.0</v>
      </c>
      <c r="C283" s="26" t="s">
        <v>843</v>
      </c>
      <c r="D283" s="26" t="s">
        <v>844</v>
      </c>
      <c r="E283" s="26" t="s">
        <v>845</v>
      </c>
    </row>
    <row r="284">
      <c r="A284" s="26">
        <v>293.0</v>
      </c>
      <c r="B284" s="25">
        <v>45040.0</v>
      </c>
      <c r="C284" s="26" t="s">
        <v>846</v>
      </c>
      <c r="D284" s="26" t="s">
        <v>847</v>
      </c>
      <c r="E284" s="26" t="s">
        <v>848</v>
      </c>
    </row>
    <row r="285">
      <c r="A285" s="26">
        <v>294.0</v>
      </c>
      <c r="B285" s="25">
        <v>45040.0</v>
      </c>
      <c r="C285" s="26" t="s">
        <v>849</v>
      </c>
      <c r="D285" s="26" t="s">
        <v>850</v>
      </c>
      <c r="E285" s="26" t="s">
        <v>851</v>
      </c>
    </row>
    <row r="286">
      <c r="A286" s="26">
        <v>295.0</v>
      </c>
      <c r="B286" s="25">
        <v>45040.0</v>
      </c>
      <c r="C286" s="26" t="s">
        <v>852</v>
      </c>
      <c r="D286" s="26" t="s">
        <v>853</v>
      </c>
      <c r="E286" s="26" t="s">
        <v>854</v>
      </c>
    </row>
    <row r="287">
      <c r="A287" s="26">
        <v>296.0</v>
      </c>
      <c r="B287" s="25">
        <v>45042.0</v>
      </c>
      <c r="C287" s="26" t="s">
        <v>855</v>
      </c>
      <c r="D287" s="26" t="s">
        <v>856</v>
      </c>
      <c r="E287" s="26" t="s">
        <v>857</v>
      </c>
    </row>
    <row r="288">
      <c r="A288" s="26">
        <v>297.0</v>
      </c>
      <c r="B288" s="25">
        <v>45042.0</v>
      </c>
      <c r="C288" s="26" t="s">
        <v>858</v>
      </c>
      <c r="D288" s="26" t="s">
        <v>859</v>
      </c>
      <c r="E288" s="26" t="s">
        <v>860</v>
      </c>
    </row>
    <row r="289">
      <c r="A289" s="26">
        <v>298.0</v>
      </c>
      <c r="B289" s="25">
        <v>45044.0</v>
      </c>
      <c r="C289" s="26" t="s">
        <v>861</v>
      </c>
      <c r="D289" s="26" t="s">
        <v>862</v>
      </c>
      <c r="E289" s="26" t="s">
        <v>863</v>
      </c>
    </row>
    <row r="290">
      <c r="A290" s="26">
        <v>299.0</v>
      </c>
      <c r="B290" s="25">
        <v>45044.0</v>
      </c>
      <c r="C290" s="26" t="s">
        <v>864</v>
      </c>
      <c r="D290" s="26" t="s">
        <v>865</v>
      </c>
      <c r="E290" s="26" t="s">
        <v>866</v>
      </c>
    </row>
    <row r="291">
      <c r="A291" s="26">
        <v>300.0</v>
      </c>
      <c r="B291" s="25">
        <v>45044.0</v>
      </c>
      <c r="C291" s="26" t="s">
        <v>867</v>
      </c>
      <c r="D291" s="26" t="s">
        <v>868</v>
      </c>
      <c r="E291" s="26" t="s">
        <v>869</v>
      </c>
    </row>
    <row r="292">
      <c r="A292" s="26">
        <v>301.0</v>
      </c>
      <c r="B292" s="25">
        <v>45048.0</v>
      </c>
      <c r="C292" s="26" t="s">
        <v>870</v>
      </c>
      <c r="D292" s="26" t="s">
        <v>871</v>
      </c>
      <c r="E292" s="26" t="s">
        <v>872</v>
      </c>
    </row>
    <row r="293">
      <c r="A293" s="26">
        <v>302.0</v>
      </c>
      <c r="B293" s="25">
        <v>45048.0</v>
      </c>
      <c r="C293" s="26" t="s">
        <v>873</v>
      </c>
      <c r="D293" s="26" t="s">
        <v>874</v>
      </c>
      <c r="E293" s="26" t="s">
        <v>875</v>
      </c>
    </row>
    <row r="294">
      <c r="A294" s="26">
        <v>303.0</v>
      </c>
      <c r="B294" s="25">
        <v>45048.0</v>
      </c>
      <c r="C294" s="26" t="s">
        <v>876</v>
      </c>
      <c r="D294" s="26" t="s">
        <v>877</v>
      </c>
      <c r="E294" s="26" t="s">
        <v>878</v>
      </c>
    </row>
    <row r="295">
      <c r="A295" s="26">
        <v>304.0</v>
      </c>
      <c r="B295" s="25">
        <v>45051.0</v>
      </c>
      <c r="C295" s="26" t="s">
        <v>879</v>
      </c>
      <c r="D295" s="26" t="s">
        <v>880</v>
      </c>
      <c r="E295" s="26" t="s">
        <v>881</v>
      </c>
    </row>
    <row r="296">
      <c r="A296" s="26">
        <v>305.0</v>
      </c>
      <c r="B296" s="25">
        <v>45053.0</v>
      </c>
      <c r="C296" s="26" t="s">
        <v>882</v>
      </c>
      <c r="D296" s="26" t="s">
        <v>883</v>
      </c>
      <c r="E296" s="26" t="s">
        <v>884</v>
      </c>
    </row>
    <row r="297">
      <c r="A297" s="26">
        <v>306.0</v>
      </c>
      <c r="B297" s="25">
        <v>45054.0</v>
      </c>
      <c r="C297" s="26" t="s">
        <v>885</v>
      </c>
      <c r="D297" s="26" t="s">
        <v>886</v>
      </c>
      <c r="E297" s="26" t="s">
        <v>887</v>
      </c>
    </row>
    <row r="298">
      <c r="A298" s="26">
        <v>307.0</v>
      </c>
      <c r="B298" s="25">
        <v>45058.0</v>
      </c>
      <c r="C298" s="26" t="s">
        <v>888</v>
      </c>
      <c r="D298" s="26" t="s">
        <v>889</v>
      </c>
      <c r="E298" s="26" t="s">
        <v>890</v>
      </c>
    </row>
    <row r="299">
      <c r="A299" s="26">
        <v>308.0</v>
      </c>
      <c r="B299" s="25">
        <v>45061.0</v>
      </c>
      <c r="C299" s="26" t="s">
        <v>891</v>
      </c>
      <c r="D299" s="26" t="s">
        <v>892</v>
      </c>
      <c r="E299" s="26" t="s">
        <v>893</v>
      </c>
    </row>
    <row r="300">
      <c r="A300" s="26">
        <v>309.0</v>
      </c>
      <c r="B300" s="25">
        <v>45061.0</v>
      </c>
      <c r="C300" s="26" t="s">
        <v>894</v>
      </c>
      <c r="D300" s="26" t="s">
        <v>895</v>
      </c>
      <c r="E300" s="26" t="s">
        <v>896</v>
      </c>
    </row>
    <row r="301">
      <c r="A301" s="26">
        <v>310.0</v>
      </c>
      <c r="B301" s="25">
        <v>45062.0</v>
      </c>
      <c r="C301" s="26" t="s">
        <v>897</v>
      </c>
      <c r="D301" s="26" t="s">
        <v>898</v>
      </c>
      <c r="E301" s="26" t="s">
        <v>899</v>
      </c>
    </row>
    <row r="302">
      <c r="A302" s="26">
        <v>311.0</v>
      </c>
      <c r="B302" s="25">
        <v>45064.0</v>
      </c>
      <c r="C302" s="26" t="s">
        <v>900</v>
      </c>
      <c r="D302" s="26" t="s">
        <v>901</v>
      </c>
      <c r="E302" s="26" t="s">
        <v>902</v>
      </c>
    </row>
    <row r="303">
      <c r="A303" s="26">
        <v>312.0</v>
      </c>
      <c r="B303" s="25">
        <v>45068.0</v>
      </c>
      <c r="C303" s="26" t="s">
        <v>903</v>
      </c>
      <c r="D303" s="26" t="s">
        <v>904</v>
      </c>
      <c r="E303" s="26" t="s">
        <v>905</v>
      </c>
    </row>
    <row r="304">
      <c r="A304" s="26">
        <v>313.0</v>
      </c>
      <c r="B304" s="25">
        <v>45068.0</v>
      </c>
      <c r="C304" s="26" t="s">
        <v>906</v>
      </c>
      <c r="D304" s="26" t="s">
        <v>907</v>
      </c>
      <c r="E304" s="26" t="s">
        <v>908</v>
      </c>
    </row>
    <row r="305">
      <c r="A305" s="26">
        <v>314.0</v>
      </c>
      <c r="B305" s="25">
        <v>45070.0</v>
      </c>
      <c r="C305" s="26" t="s">
        <v>909</v>
      </c>
      <c r="D305" s="26" t="s">
        <v>910</v>
      </c>
      <c r="E305" s="26" t="s">
        <v>911</v>
      </c>
    </row>
    <row r="306">
      <c r="A306" s="26">
        <v>315.0</v>
      </c>
      <c r="B306" s="25">
        <v>45071.0</v>
      </c>
      <c r="C306" s="26" t="s">
        <v>912</v>
      </c>
      <c r="D306" s="26" t="s">
        <v>913</v>
      </c>
      <c r="E306" s="26" t="s">
        <v>914</v>
      </c>
    </row>
    <row r="307">
      <c r="A307" s="26">
        <v>316.0</v>
      </c>
      <c r="B307" s="25">
        <v>45079.0</v>
      </c>
      <c r="C307" s="26" t="s">
        <v>915</v>
      </c>
      <c r="D307" s="26" t="s">
        <v>916</v>
      </c>
      <c r="E307" s="26" t="s">
        <v>917</v>
      </c>
    </row>
    <row r="308">
      <c r="A308" s="31">
        <v>317.0</v>
      </c>
      <c r="B308" s="32">
        <v>45079.0</v>
      </c>
      <c r="C308" s="31" t="s">
        <v>918</v>
      </c>
      <c r="D308" s="31" t="s">
        <v>919</v>
      </c>
      <c r="E308" s="31" t="s">
        <v>920</v>
      </c>
    </row>
    <row r="309">
      <c r="A309" s="33">
        <v>318.0</v>
      </c>
      <c r="B309" s="34">
        <v>45080.0</v>
      </c>
      <c r="C309" s="31" t="s">
        <v>921</v>
      </c>
      <c r="D309" s="31" t="s">
        <v>922</v>
      </c>
      <c r="E309" s="26" t="s">
        <v>923</v>
      </c>
    </row>
    <row r="310">
      <c r="A310" s="33">
        <v>319.0</v>
      </c>
      <c r="B310" s="34">
        <v>45083.0</v>
      </c>
      <c r="C310" s="33" t="s">
        <v>924</v>
      </c>
      <c r="D310" s="26" t="s">
        <v>925</v>
      </c>
      <c r="E310" s="26" t="s">
        <v>926</v>
      </c>
    </row>
    <row r="311">
      <c r="A311" s="33">
        <v>320.0</v>
      </c>
      <c r="B311" s="35">
        <v>45084.0</v>
      </c>
      <c r="C311" s="31" t="s">
        <v>927</v>
      </c>
      <c r="D311" s="31" t="s">
        <v>928</v>
      </c>
      <c r="E311" s="31" t="s">
        <v>929</v>
      </c>
    </row>
    <row r="312">
      <c r="A312" s="26">
        <v>321.0</v>
      </c>
      <c r="B312" s="25">
        <v>45085.0</v>
      </c>
      <c r="C312" s="26" t="s">
        <v>930</v>
      </c>
      <c r="D312" s="26" t="s">
        <v>931</v>
      </c>
      <c r="E312" s="26" t="s">
        <v>932</v>
      </c>
    </row>
    <row r="313">
      <c r="A313" s="26">
        <v>322.0</v>
      </c>
      <c r="B313" s="25">
        <v>45089.0</v>
      </c>
      <c r="C313" s="26" t="s">
        <v>933</v>
      </c>
      <c r="D313" s="26" t="s">
        <v>934</v>
      </c>
      <c r="E313" s="26" t="s">
        <v>935</v>
      </c>
    </row>
    <row r="314">
      <c r="A314" s="26">
        <v>323.0</v>
      </c>
      <c r="B314" s="25">
        <v>45089.0</v>
      </c>
      <c r="C314" s="26" t="s">
        <v>936</v>
      </c>
      <c r="D314" s="26" t="s">
        <v>937</v>
      </c>
      <c r="E314" s="26" t="s">
        <v>938</v>
      </c>
    </row>
    <row r="315">
      <c r="A315" s="26">
        <v>324.0</v>
      </c>
      <c r="B315" s="25">
        <v>45090.0</v>
      </c>
      <c r="C315" s="26" t="s">
        <v>939</v>
      </c>
      <c r="D315" s="26" t="s">
        <v>940</v>
      </c>
      <c r="E315" s="26" t="s">
        <v>941</v>
      </c>
    </row>
    <row r="316">
      <c r="A316" s="26">
        <v>325.0</v>
      </c>
      <c r="B316" s="25">
        <v>45091.0</v>
      </c>
      <c r="C316" s="26" t="s">
        <v>942</v>
      </c>
      <c r="D316" s="26" t="s">
        <v>943</v>
      </c>
      <c r="E316" s="26" t="s">
        <v>944</v>
      </c>
    </row>
    <row r="317">
      <c r="A317" s="26">
        <v>326.0</v>
      </c>
      <c r="B317" s="25">
        <v>45092.0</v>
      </c>
      <c r="C317" s="26" t="s">
        <v>945</v>
      </c>
      <c r="D317" s="26" t="s">
        <v>946</v>
      </c>
      <c r="E317" s="26" t="s">
        <v>947</v>
      </c>
    </row>
    <row r="318">
      <c r="A318" s="26">
        <v>327.0</v>
      </c>
      <c r="B318" s="25">
        <v>45094.0</v>
      </c>
      <c r="C318" s="26" t="s">
        <v>948</v>
      </c>
      <c r="D318" s="26" t="s">
        <v>949</v>
      </c>
      <c r="E318" s="26" t="s">
        <v>950</v>
      </c>
    </row>
    <row r="319">
      <c r="A319" s="26">
        <v>328.0</v>
      </c>
      <c r="B319" s="25">
        <v>45097.0</v>
      </c>
      <c r="C319" s="26" t="s">
        <v>951</v>
      </c>
      <c r="D319" s="26" t="s">
        <v>952</v>
      </c>
      <c r="E319" s="26" t="s">
        <v>953</v>
      </c>
    </row>
    <row r="320">
      <c r="A320" s="26">
        <v>329.0</v>
      </c>
      <c r="B320" s="25">
        <v>45096.0</v>
      </c>
      <c r="C320" s="26" t="s">
        <v>954</v>
      </c>
      <c r="D320" s="26" t="s">
        <v>955</v>
      </c>
      <c r="E320" s="26" t="s">
        <v>956</v>
      </c>
    </row>
    <row r="321">
      <c r="A321" s="26">
        <v>330.0</v>
      </c>
      <c r="B321" s="25">
        <v>45098.0</v>
      </c>
      <c r="C321" s="26" t="s">
        <v>957</v>
      </c>
      <c r="D321" s="26" t="s">
        <v>958</v>
      </c>
      <c r="E321" s="26" t="s">
        <v>959</v>
      </c>
    </row>
    <row r="322">
      <c r="A322" s="26">
        <v>331.0</v>
      </c>
      <c r="B322" s="25">
        <v>45099.0</v>
      </c>
      <c r="C322" s="26" t="s">
        <v>960</v>
      </c>
      <c r="D322" s="26" t="s">
        <v>961</v>
      </c>
      <c r="E322" s="26" t="s">
        <v>962</v>
      </c>
    </row>
    <row r="323">
      <c r="A323" s="26">
        <v>332.0</v>
      </c>
      <c r="B323" s="25">
        <v>45102.0</v>
      </c>
      <c r="C323" s="26" t="s">
        <v>963</v>
      </c>
      <c r="D323" s="26" t="s">
        <v>964</v>
      </c>
      <c r="E323" s="26" t="s">
        <v>965</v>
      </c>
    </row>
    <row r="324">
      <c r="A324" s="26">
        <v>333.0</v>
      </c>
      <c r="B324" s="25">
        <v>45103.0</v>
      </c>
      <c r="C324" s="26" t="s">
        <v>966</v>
      </c>
      <c r="D324" s="26" t="s">
        <v>967</v>
      </c>
      <c r="E324" s="26" t="s">
        <v>968</v>
      </c>
    </row>
    <row r="325">
      <c r="A325" s="26">
        <v>334.0</v>
      </c>
      <c r="B325" s="25">
        <v>45104.0</v>
      </c>
      <c r="C325" s="26" t="s">
        <v>969</v>
      </c>
      <c r="D325" s="26" t="s">
        <v>970</v>
      </c>
      <c r="E325" s="26" t="s">
        <v>971</v>
      </c>
    </row>
    <row r="326">
      <c r="A326" s="26">
        <v>335.0</v>
      </c>
      <c r="B326" s="25">
        <v>45107.0</v>
      </c>
      <c r="C326" s="26" t="s">
        <v>972</v>
      </c>
      <c r="D326" s="26" t="s">
        <v>973</v>
      </c>
      <c r="E326" s="26" t="s">
        <v>974</v>
      </c>
    </row>
    <row r="327">
      <c r="A327" s="26">
        <v>336.0</v>
      </c>
      <c r="B327" s="25">
        <v>45106.0</v>
      </c>
      <c r="C327" s="26" t="s">
        <v>975</v>
      </c>
      <c r="D327" s="26" t="s">
        <v>976</v>
      </c>
      <c r="E327" s="26" t="s">
        <v>977</v>
      </c>
    </row>
    <row r="328">
      <c r="A328" s="26">
        <v>337.0</v>
      </c>
      <c r="B328" s="25">
        <v>45109.0</v>
      </c>
      <c r="C328" s="26" t="s">
        <v>978</v>
      </c>
      <c r="D328" s="26" t="s">
        <v>979</v>
      </c>
      <c r="E328" s="26" t="s">
        <v>980</v>
      </c>
    </row>
    <row r="329">
      <c r="A329" s="26">
        <v>338.0</v>
      </c>
      <c r="B329" s="25">
        <v>45107.0</v>
      </c>
      <c r="C329" s="26" t="s">
        <v>981</v>
      </c>
      <c r="D329" s="26" t="s">
        <v>982</v>
      </c>
      <c r="E329" s="26" t="s">
        <v>983</v>
      </c>
    </row>
    <row r="330">
      <c r="A330" s="26">
        <v>339.0</v>
      </c>
      <c r="B330" s="25">
        <v>45107.0</v>
      </c>
      <c r="C330" s="26" t="s">
        <v>984</v>
      </c>
      <c r="D330" s="26" t="s">
        <v>985</v>
      </c>
      <c r="E330" s="26" t="s">
        <v>986</v>
      </c>
    </row>
    <row r="331">
      <c r="A331" s="26">
        <v>340.0</v>
      </c>
      <c r="B331" s="25">
        <v>45109.0</v>
      </c>
      <c r="C331" s="26" t="s">
        <v>987</v>
      </c>
      <c r="D331" s="26" t="s">
        <v>988</v>
      </c>
      <c r="E331" s="26" t="s">
        <v>989</v>
      </c>
    </row>
    <row r="332">
      <c r="A332" s="26">
        <v>341.0</v>
      </c>
      <c r="B332" s="25">
        <v>45108.0</v>
      </c>
      <c r="C332" s="26" t="s">
        <v>990</v>
      </c>
      <c r="D332" s="26" t="s">
        <v>991</v>
      </c>
      <c r="E332" s="26" t="s">
        <v>992</v>
      </c>
    </row>
    <row r="333">
      <c r="A333" s="26">
        <v>342.0</v>
      </c>
      <c r="B333" s="25">
        <v>45107.0</v>
      </c>
      <c r="C333" s="26" t="s">
        <v>993</v>
      </c>
      <c r="D333" s="26" t="s">
        <v>994</v>
      </c>
      <c r="E333" s="26" t="s">
        <v>995</v>
      </c>
    </row>
    <row r="334">
      <c r="A334" s="26">
        <v>343.0</v>
      </c>
      <c r="B334" s="25">
        <v>45108.0</v>
      </c>
      <c r="C334" s="26" t="s">
        <v>996</v>
      </c>
      <c r="D334" s="26" t="s">
        <v>997</v>
      </c>
      <c r="E334" s="26" t="s">
        <v>998</v>
      </c>
    </row>
    <row r="335">
      <c r="A335" s="26">
        <v>344.0</v>
      </c>
      <c r="B335" s="25">
        <v>45109.0</v>
      </c>
      <c r="C335" s="26" t="s">
        <v>999</v>
      </c>
      <c r="D335" s="26" t="s">
        <v>1000</v>
      </c>
      <c r="E335" s="26" t="s">
        <v>1001</v>
      </c>
    </row>
    <row r="336">
      <c r="A336" s="26">
        <v>345.0</v>
      </c>
      <c r="B336" s="25">
        <v>45110.0</v>
      </c>
      <c r="C336" s="26" t="s">
        <v>1002</v>
      </c>
      <c r="D336" s="26" t="s">
        <v>1003</v>
      </c>
      <c r="E336" s="26" t="s">
        <v>1004</v>
      </c>
    </row>
    <row r="337">
      <c r="A337" s="26">
        <v>346.0</v>
      </c>
      <c r="B337" s="25">
        <v>45109.0</v>
      </c>
      <c r="C337" s="26" t="s">
        <v>999</v>
      </c>
      <c r="D337" s="26" t="s">
        <v>1000</v>
      </c>
      <c r="E337" s="26" t="s">
        <v>1001</v>
      </c>
    </row>
    <row r="338">
      <c r="A338" s="26">
        <v>347.0</v>
      </c>
      <c r="B338" s="25">
        <v>45110.0</v>
      </c>
      <c r="C338" s="26" t="s">
        <v>1005</v>
      </c>
      <c r="D338" s="26" t="s">
        <v>1006</v>
      </c>
      <c r="E338" s="26" t="s">
        <v>1007</v>
      </c>
    </row>
    <row r="339">
      <c r="A339" s="26">
        <v>348.0</v>
      </c>
      <c r="B339" s="25">
        <v>45110.0</v>
      </c>
      <c r="C339" s="26" t="s">
        <v>1008</v>
      </c>
      <c r="D339" s="26" t="s">
        <v>1009</v>
      </c>
      <c r="E339" s="26" t="s">
        <v>1010</v>
      </c>
    </row>
    <row r="340">
      <c r="A340" s="26">
        <v>349.0</v>
      </c>
      <c r="B340" s="25">
        <v>45112.0</v>
      </c>
      <c r="C340" s="26" t="s">
        <v>1011</v>
      </c>
      <c r="D340" s="26" t="s">
        <v>1012</v>
      </c>
      <c r="E340" s="26" t="s">
        <v>1013</v>
      </c>
    </row>
    <row r="341">
      <c r="A341" s="26">
        <v>350.0</v>
      </c>
      <c r="B341" s="25">
        <v>45113.0</v>
      </c>
      <c r="C341" s="26" t="s">
        <v>1014</v>
      </c>
      <c r="D341" s="26" t="s">
        <v>1015</v>
      </c>
      <c r="E341" s="26" t="s">
        <v>1016</v>
      </c>
    </row>
    <row r="342">
      <c r="A342" s="26">
        <v>351.0</v>
      </c>
      <c r="B342" s="25">
        <v>45113.0</v>
      </c>
      <c r="C342" s="26" t="s">
        <v>1017</v>
      </c>
      <c r="D342" s="26" t="s">
        <v>1018</v>
      </c>
      <c r="E342" s="26" t="s">
        <v>1019</v>
      </c>
    </row>
    <row r="343">
      <c r="A343" s="26">
        <v>352.0</v>
      </c>
      <c r="B343" s="25">
        <v>45114.0</v>
      </c>
      <c r="C343" s="36" t="s">
        <v>1020</v>
      </c>
      <c r="D343" s="26" t="s">
        <v>1021</v>
      </c>
      <c r="E343" s="37"/>
    </row>
    <row r="344">
      <c r="A344" s="26">
        <v>353.0</v>
      </c>
      <c r="B344" s="25">
        <v>45121.0</v>
      </c>
      <c r="C344" s="26" t="s">
        <v>1022</v>
      </c>
      <c r="D344" s="26" t="s">
        <v>1023</v>
      </c>
      <c r="E344" s="26" t="s">
        <v>1024</v>
      </c>
    </row>
    <row r="345">
      <c r="A345" s="26">
        <v>354.0</v>
      </c>
      <c r="B345" s="25">
        <v>45121.0</v>
      </c>
      <c r="C345" s="26" t="s">
        <v>1025</v>
      </c>
      <c r="D345" s="26" t="s">
        <v>1026</v>
      </c>
      <c r="E345" s="26" t="s">
        <v>1027</v>
      </c>
    </row>
    <row r="346">
      <c r="A346" s="26">
        <v>355.0</v>
      </c>
      <c r="B346" s="25">
        <v>45124.0</v>
      </c>
      <c r="C346" s="26" t="s">
        <v>1028</v>
      </c>
      <c r="D346" s="26" t="s">
        <v>1029</v>
      </c>
      <c r="E346" s="26" t="s">
        <v>1030</v>
      </c>
    </row>
    <row r="347">
      <c r="A347" s="26">
        <v>356.0</v>
      </c>
      <c r="B347" s="25">
        <v>45126.0</v>
      </c>
      <c r="C347" s="26" t="s">
        <v>1031</v>
      </c>
      <c r="D347" s="26" t="s">
        <v>1032</v>
      </c>
      <c r="E347" s="26" t="s">
        <v>1033</v>
      </c>
    </row>
    <row r="348">
      <c r="A348" s="26">
        <v>357.0</v>
      </c>
      <c r="B348" s="25">
        <v>45126.0</v>
      </c>
      <c r="C348" s="26" t="s">
        <v>1034</v>
      </c>
      <c r="D348" s="26" t="s">
        <v>1035</v>
      </c>
      <c r="E348" s="26" t="s">
        <v>1036</v>
      </c>
    </row>
    <row r="349">
      <c r="A349" s="26">
        <v>358.0</v>
      </c>
      <c r="B349" s="25">
        <v>45126.0</v>
      </c>
      <c r="C349" s="26" t="s">
        <v>1037</v>
      </c>
      <c r="D349" s="26" t="s">
        <v>1038</v>
      </c>
      <c r="E349" s="26" t="s">
        <v>1039</v>
      </c>
    </row>
    <row r="350">
      <c r="A350" s="26">
        <v>359.0</v>
      </c>
      <c r="B350" s="25">
        <v>45126.0</v>
      </c>
      <c r="C350" s="26" t="s">
        <v>1040</v>
      </c>
      <c r="D350" s="26" t="s">
        <v>1041</v>
      </c>
      <c r="E350" s="26" t="s">
        <v>1042</v>
      </c>
    </row>
    <row r="351">
      <c r="A351" s="26">
        <v>360.0</v>
      </c>
      <c r="B351" s="25">
        <v>45128.0</v>
      </c>
      <c r="C351" s="26" t="s">
        <v>1043</v>
      </c>
      <c r="D351" s="26" t="s">
        <v>1044</v>
      </c>
      <c r="E351" s="26" t="s">
        <v>1045</v>
      </c>
    </row>
    <row r="352">
      <c r="A352" s="26">
        <v>361.0</v>
      </c>
      <c r="B352" s="25">
        <v>45129.0</v>
      </c>
      <c r="C352" s="26" t="s">
        <v>1046</v>
      </c>
      <c r="D352" s="26" t="s">
        <v>1047</v>
      </c>
      <c r="E352" s="26" t="s">
        <v>1048</v>
      </c>
    </row>
    <row r="353">
      <c r="A353" s="26">
        <v>362.0</v>
      </c>
      <c r="B353" s="25">
        <v>45131.0</v>
      </c>
      <c r="C353" s="26" t="s">
        <v>1049</v>
      </c>
      <c r="D353" s="26" t="s">
        <v>1050</v>
      </c>
      <c r="E353" s="26" t="s">
        <v>1051</v>
      </c>
    </row>
    <row r="354">
      <c r="A354" s="26">
        <v>363.0</v>
      </c>
      <c r="B354" s="25">
        <v>45133.0</v>
      </c>
      <c r="C354" s="26" t="s">
        <v>1052</v>
      </c>
      <c r="D354" s="26" t="s">
        <v>1053</v>
      </c>
      <c r="E354" s="26" t="s">
        <v>1054</v>
      </c>
    </row>
    <row r="355">
      <c r="A355" s="26">
        <v>364.0</v>
      </c>
      <c r="B355" s="25">
        <v>45135.0</v>
      </c>
      <c r="C355" s="26" t="s">
        <v>1055</v>
      </c>
      <c r="D355" s="26" t="s">
        <v>1056</v>
      </c>
      <c r="E355" s="26" t="s">
        <v>1057</v>
      </c>
    </row>
    <row r="356">
      <c r="A356" s="26">
        <v>365.0</v>
      </c>
      <c r="B356" s="25">
        <v>45135.0</v>
      </c>
      <c r="C356" s="26" t="s">
        <v>1058</v>
      </c>
      <c r="D356" s="26" t="s">
        <v>1059</v>
      </c>
      <c r="E356" s="26" t="s">
        <v>1060</v>
      </c>
    </row>
    <row r="357">
      <c r="A357" s="26">
        <v>366.0</v>
      </c>
      <c r="B357" s="25">
        <v>45136.0</v>
      </c>
      <c r="C357" s="26" t="s">
        <v>1061</v>
      </c>
      <c r="D357" s="26" t="s">
        <v>1062</v>
      </c>
      <c r="E357" s="26" t="s">
        <v>1063</v>
      </c>
    </row>
    <row r="358">
      <c r="A358" s="26">
        <v>367.0</v>
      </c>
      <c r="B358" s="25">
        <v>45138.0</v>
      </c>
      <c r="C358" s="26" t="s">
        <v>1064</v>
      </c>
      <c r="D358" s="26" t="s">
        <v>1065</v>
      </c>
      <c r="E358" s="26" t="s">
        <v>1066</v>
      </c>
    </row>
    <row r="359">
      <c r="A359" s="26">
        <v>368.0</v>
      </c>
      <c r="B359" s="25">
        <v>45139.0</v>
      </c>
      <c r="C359" s="26" t="s">
        <v>1067</v>
      </c>
      <c r="D359" s="26" t="s">
        <v>1068</v>
      </c>
      <c r="E359" s="26" t="s">
        <v>1069</v>
      </c>
    </row>
    <row r="360">
      <c r="A360" s="26">
        <v>369.0</v>
      </c>
      <c r="B360" s="25">
        <v>45139.0</v>
      </c>
      <c r="C360" s="26" t="s">
        <v>1070</v>
      </c>
      <c r="D360" s="26" t="s">
        <v>1071</v>
      </c>
      <c r="E360" s="26" t="s">
        <v>1072</v>
      </c>
    </row>
    <row r="361">
      <c r="A361" s="26">
        <v>370.0</v>
      </c>
      <c r="B361" s="25">
        <v>45149.0</v>
      </c>
      <c r="C361" s="26" t="s">
        <v>1073</v>
      </c>
      <c r="D361" s="26" t="s">
        <v>1074</v>
      </c>
      <c r="E361" s="26" t="s">
        <v>1075</v>
      </c>
    </row>
    <row r="362">
      <c r="A362" s="26">
        <v>371.0</v>
      </c>
      <c r="B362" s="25">
        <v>45149.0</v>
      </c>
      <c r="C362" s="26" t="s">
        <v>1076</v>
      </c>
      <c r="D362" s="26" t="s">
        <v>1077</v>
      </c>
      <c r="E362" s="26"/>
    </row>
    <row r="363">
      <c r="A363" s="26">
        <v>372.0</v>
      </c>
      <c r="B363" s="25">
        <v>45152.0</v>
      </c>
      <c r="C363" s="26" t="s">
        <v>1078</v>
      </c>
      <c r="D363" s="26" t="s">
        <v>1079</v>
      </c>
      <c r="E363" s="26" t="s">
        <v>1080</v>
      </c>
    </row>
    <row r="364">
      <c r="A364" s="26">
        <v>373.0</v>
      </c>
      <c r="B364" s="25">
        <v>45153.0</v>
      </c>
      <c r="C364" s="26" t="s">
        <v>1081</v>
      </c>
      <c r="D364" s="26" t="s">
        <v>1082</v>
      </c>
      <c r="E364" s="26" t="s">
        <v>1083</v>
      </c>
    </row>
    <row r="365">
      <c r="A365" s="26">
        <v>374.0</v>
      </c>
      <c r="B365" s="25">
        <v>45153.0</v>
      </c>
      <c r="C365" s="26" t="s">
        <v>1084</v>
      </c>
      <c r="D365" s="26" t="s">
        <v>1085</v>
      </c>
      <c r="E365" s="26" t="s">
        <v>1086</v>
      </c>
    </row>
    <row r="366">
      <c r="A366" s="26">
        <v>375.0</v>
      </c>
      <c r="B366" s="25">
        <v>45153.0</v>
      </c>
      <c r="C366" s="26" t="s">
        <v>1087</v>
      </c>
      <c r="D366" s="26" t="s">
        <v>1088</v>
      </c>
      <c r="E366" s="26" t="s">
        <v>1089</v>
      </c>
    </row>
    <row r="367">
      <c r="A367" s="26">
        <v>376.0</v>
      </c>
      <c r="B367" s="25">
        <v>45153.0</v>
      </c>
      <c r="C367" s="26" t="s">
        <v>1090</v>
      </c>
      <c r="D367" s="26" t="s">
        <v>1091</v>
      </c>
      <c r="E367" s="26" t="s">
        <v>1092</v>
      </c>
    </row>
    <row r="368">
      <c r="A368" s="26">
        <v>377.0</v>
      </c>
      <c r="B368" s="25">
        <v>45155.0</v>
      </c>
      <c r="C368" s="26" t="s">
        <v>1093</v>
      </c>
      <c r="D368" s="26" t="s">
        <v>1094</v>
      </c>
      <c r="E368" s="26" t="s">
        <v>1095</v>
      </c>
    </row>
    <row r="369">
      <c r="A369" s="26">
        <v>378.0</v>
      </c>
      <c r="B369" s="25">
        <v>45155.0</v>
      </c>
      <c r="C369" s="26" t="s">
        <v>1096</v>
      </c>
      <c r="D369" s="26" t="s">
        <v>1097</v>
      </c>
      <c r="E369" s="26" t="s">
        <v>1098</v>
      </c>
    </row>
    <row r="370">
      <c r="A370" s="26">
        <v>379.0</v>
      </c>
      <c r="B370" s="25">
        <v>45159.0</v>
      </c>
      <c r="C370" s="26" t="s">
        <v>1099</v>
      </c>
      <c r="D370" s="26" t="s">
        <v>1100</v>
      </c>
      <c r="E370" s="26" t="s">
        <v>1101</v>
      </c>
    </row>
    <row r="371">
      <c r="A371" s="26">
        <v>380.0</v>
      </c>
      <c r="B371" s="25">
        <v>45159.0</v>
      </c>
      <c r="C371" s="26" t="s">
        <v>1102</v>
      </c>
      <c r="D371" s="26" t="s">
        <v>1103</v>
      </c>
      <c r="E371" s="26" t="s">
        <v>1104</v>
      </c>
    </row>
    <row r="372">
      <c r="A372" s="26">
        <v>381.0</v>
      </c>
      <c r="B372" s="25">
        <v>45160.0</v>
      </c>
      <c r="C372" s="26" t="s">
        <v>1105</v>
      </c>
      <c r="D372" s="26" t="s">
        <v>1106</v>
      </c>
      <c r="E372" s="26" t="s">
        <v>1107</v>
      </c>
    </row>
    <row r="373">
      <c r="A373" s="26">
        <v>382.0</v>
      </c>
      <c r="B373" s="25">
        <v>45160.0</v>
      </c>
      <c r="C373" s="26" t="s">
        <v>1108</v>
      </c>
      <c r="D373" s="26" t="s">
        <v>1109</v>
      </c>
      <c r="E373" s="26" t="s">
        <v>1110</v>
      </c>
    </row>
    <row r="374">
      <c r="A374" s="26">
        <v>383.0</v>
      </c>
      <c r="B374" s="25">
        <v>45160.0</v>
      </c>
      <c r="C374" s="26" t="s">
        <v>1111</v>
      </c>
      <c r="D374" s="26" t="s">
        <v>1112</v>
      </c>
      <c r="E374" s="26" t="s">
        <v>1113</v>
      </c>
    </row>
    <row r="375">
      <c r="A375" s="26">
        <v>384.0</v>
      </c>
      <c r="B375" s="25">
        <v>45166.0</v>
      </c>
      <c r="C375" s="26" t="s">
        <v>1114</v>
      </c>
      <c r="D375" s="26" t="s">
        <v>1115</v>
      </c>
      <c r="E375" s="26" t="s">
        <v>1116</v>
      </c>
    </row>
    <row r="376">
      <c r="A376" s="26">
        <v>385.0</v>
      </c>
      <c r="B376" s="25">
        <v>45166.0</v>
      </c>
      <c r="C376" s="26" t="s">
        <v>1117</v>
      </c>
      <c r="D376" s="26" t="s">
        <v>1118</v>
      </c>
      <c r="E376" s="26" t="s">
        <v>1119</v>
      </c>
    </row>
    <row r="377">
      <c r="A377" s="26">
        <v>386.0</v>
      </c>
      <c r="B377" s="25">
        <v>45168.0</v>
      </c>
      <c r="C377" s="26" t="s">
        <v>1120</v>
      </c>
      <c r="D377" s="26" t="s">
        <v>1121</v>
      </c>
      <c r="E377" s="26" t="s">
        <v>1122</v>
      </c>
    </row>
    <row r="378">
      <c r="A378" s="26">
        <v>387.0</v>
      </c>
      <c r="B378" s="25">
        <v>45168.0</v>
      </c>
      <c r="C378" s="26" t="s">
        <v>1123</v>
      </c>
      <c r="D378" s="26" t="s">
        <v>1124</v>
      </c>
      <c r="E378" s="26" t="s">
        <v>1125</v>
      </c>
    </row>
    <row r="379">
      <c r="A379" s="26">
        <v>388.0</v>
      </c>
      <c r="B379" s="25">
        <v>45168.0</v>
      </c>
      <c r="C379" s="26" t="s">
        <v>1126</v>
      </c>
      <c r="D379" s="26" t="s">
        <v>1127</v>
      </c>
      <c r="E379" s="26" t="s">
        <v>1128</v>
      </c>
    </row>
    <row r="380">
      <c r="A380" s="26">
        <v>389.0</v>
      </c>
      <c r="B380" s="25">
        <v>45170.0</v>
      </c>
      <c r="C380" s="26" t="s">
        <v>1129</v>
      </c>
      <c r="D380" s="26" t="s">
        <v>1130</v>
      </c>
      <c r="E380" s="26" t="s">
        <v>1131</v>
      </c>
    </row>
    <row r="381">
      <c r="A381" s="26">
        <v>390.0</v>
      </c>
      <c r="B381" s="25">
        <v>45171.0</v>
      </c>
      <c r="C381" s="26" t="s">
        <v>1132</v>
      </c>
      <c r="D381" s="26" t="s">
        <v>1133</v>
      </c>
      <c r="E381" s="26" t="s">
        <v>1134</v>
      </c>
    </row>
    <row r="382">
      <c r="A382" s="26">
        <v>391.0</v>
      </c>
      <c r="B382" s="25">
        <v>45171.0</v>
      </c>
      <c r="C382" s="26" t="s">
        <v>1135</v>
      </c>
      <c r="D382" s="26" t="s">
        <v>1136</v>
      </c>
      <c r="E382" s="26" t="s">
        <v>1137</v>
      </c>
    </row>
    <row r="383">
      <c r="A383" s="26">
        <v>392.0</v>
      </c>
      <c r="B383" s="25">
        <v>45177.0</v>
      </c>
      <c r="C383" s="26" t="s">
        <v>1138</v>
      </c>
      <c r="D383" s="26" t="s">
        <v>1139</v>
      </c>
      <c r="E383" s="26" t="s">
        <v>1140</v>
      </c>
    </row>
    <row r="384">
      <c r="A384" s="26">
        <v>393.0</v>
      </c>
      <c r="B384" s="25">
        <v>45178.0</v>
      </c>
      <c r="C384" s="26" t="s">
        <v>1141</v>
      </c>
      <c r="D384" s="26" t="s">
        <v>1142</v>
      </c>
      <c r="E384" s="26" t="s">
        <v>1143</v>
      </c>
    </row>
    <row r="385">
      <c r="A385" s="26">
        <v>394.0</v>
      </c>
      <c r="B385" s="25">
        <v>45178.0</v>
      </c>
      <c r="C385" s="26" t="s">
        <v>1144</v>
      </c>
      <c r="D385" s="26" t="s">
        <v>1145</v>
      </c>
      <c r="E385" s="26" t="s">
        <v>1146</v>
      </c>
    </row>
    <row r="386">
      <c r="A386" s="26">
        <v>395.0</v>
      </c>
      <c r="B386" s="25">
        <v>45178.0</v>
      </c>
      <c r="C386" s="26" t="s">
        <v>1147</v>
      </c>
      <c r="D386" s="26" t="s">
        <v>1148</v>
      </c>
      <c r="E386" s="26" t="s">
        <v>1149</v>
      </c>
    </row>
    <row r="387">
      <c r="A387" s="26">
        <v>396.0</v>
      </c>
      <c r="B387" s="25">
        <v>45178.0</v>
      </c>
      <c r="C387" s="26" t="s">
        <v>1150</v>
      </c>
      <c r="D387" s="26" t="s">
        <v>1151</v>
      </c>
      <c r="E387" s="26" t="s">
        <v>1152</v>
      </c>
    </row>
    <row r="388">
      <c r="A388" s="26">
        <v>397.0</v>
      </c>
      <c r="B388" s="25">
        <v>45181.0</v>
      </c>
      <c r="C388" s="26" t="s">
        <v>1153</v>
      </c>
      <c r="D388" s="26" t="s">
        <v>1154</v>
      </c>
      <c r="E388" s="26" t="s">
        <v>1155</v>
      </c>
    </row>
    <row r="389">
      <c r="A389" s="26">
        <v>398.0</v>
      </c>
      <c r="B389" s="25">
        <v>45181.0</v>
      </c>
      <c r="C389" s="26" t="s">
        <v>1156</v>
      </c>
      <c r="D389" s="26" t="s">
        <v>1157</v>
      </c>
      <c r="E389" s="26" t="s">
        <v>1158</v>
      </c>
    </row>
    <row r="390">
      <c r="A390" s="26">
        <v>399.0</v>
      </c>
      <c r="B390" s="25">
        <v>45182.0</v>
      </c>
      <c r="C390" s="26" t="s">
        <v>1159</v>
      </c>
      <c r="D390" s="26" t="s">
        <v>1160</v>
      </c>
      <c r="E390" s="26" t="s">
        <v>1161</v>
      </c>
    </row>
    <row r="391">
      <c r="A391" s="26">
        <v>400.0</v>
      </c>
      <c r="B391" s="25">
        <v>45184.0</v>
      </c>
      <c r="C391" s="26" t="s">
        <v>1162</v>
      </c>
      <c r="D391" s="26" t="s">
        <v>1163</v>
      </c>
      <c r="E391" s="26" t="s">
        <v>1164</v>
      </c>
    </row>
    <row r="392">
      <c r="A392" s="26">
        <v>401.0</v>
      </c>
      <c r="B392" s="25">
        <v>45187.0</v>
      </c>
      <c r="C392" s="26" t="s">
        <v>1165</v>
      </c>
      <c r="D392" s="26" t="s">
        <v>1166</v>
      </c>
      <c r="E392" s="26" t="s">
        <v>1167</v>
      </c>
    </row>
    <row r="393">
      <c r="A393" s="26">
        <v>402.0</v>
      </c>
      <c r="B393" s="25">
        <v>45187.0</v>
      </c>
      <c r="C393" s="26" t="s">
        <v>1168</v>
      </c>
      <c r="D393" s="26" t="s">
        <v>1169</v>
      </c>
      <c r="E393" s="26" t="s">
        <v>1170</v>
      </c>
    </row>
    <row r="394">
      <c r="A394" s="26">
        <v>403.0</v>
      </c>
      <c r="B394" s="25">
        <v>45188.0</v>
      </c>
      <c r="C394" s="26" t="s">
        <v>1171</v>
      </c>
      <c r="D394" s="26" t="s">
        <v>1172</v>
      </c>
      <c r="E394" s="26" t="s">
        <v>1173</v>
      </c>
    </row>
    <row r="395">
      <c r="A395" s="26">
        <v>404.0</v>
      </c>
      <c r="B395" s="25">
        <v>45191.0</v>
      </c>
      <c r="C395" s="26" t="s">
        <v>1174</v>
      </c>
      <c r="D395" s="26" t="s">
        <v>1175</v>
      </c>
      <c r="E395" s="26" t="s">
        <v>1176</v>
      </c>
    </row>
    <row r="396">
      <c r="A396" s="26">
        <v>405.0</v>
      </c>
      <c r="B396" s="25">
        <v>45191.0</v>
      </c>
      <c r="C396" s="26" t="s">
        <v>1177</v>
      </c>
      <c r="D396" s="26" t="s">
        <v>1178</v>
      </c>
      <c r="E396" s="26" t="s">
        <v>1179</v>
      </c>
    </row>
    <row r="397">
      <c r="A397" s="26">
        <v>406.0</v>
      </c>
      <c r="B397" s="25">
        <v>45194.0</v>
      </c>
      <c r="C397" s="26" t="s">
        <v>1180</v>
      </c>
      <c r="D397" s="26" t="s">
        <v>1181</v>
      </c>
      <c r="E397" s="26" t="s">
        <v>1182</v>
      </c>
    </row>
    <row r="398">
      <c r="A398" s="26">
        <v>407.0</v>
      </c>
      <c r="B398" s="25">
        <v>45195.0</v>
      </c>
      <c r="C398" s="26" t="s">
        <v>1183</v>
      </c>
      <c r="D398" s="26" t="s">
        <v>1184</v>
      </c>
      <c r="E398" s="26" t="s">
        <v>1185</v>
      </c>
    </row>
    <row r="399">
      <c r="A399" s="26">
        <v>408.0</v>
      </c>
      <c r="B399" s="25">
        <v>45195.0</v>
      </c>
      <c r="C399" s="26" t="s">
        <v>1186</v>
      </c>
      <c r="D399" s="26" t="s">
        <v>1187</v>
      </c>
      <c r="E399" s="26" t="s">
        <v>1188</v>
      </c>
    </row>
    <row r="400">
      <c r="A400" s="26">
        <v>409.0</v>
      </c>
      <c r="B400" s="25">
        <v>45198.0</v>
      </c>
      <c r="C400" s="26" t="s">
        <v>1189</v>
      </c>
      <c r="D400" s="26" t="s">
        <v>1190</v>
      </c>
      <c r="E400" s="26" t="s">
        <v>1191</v>
      </c>
    </row>
    <row r="401">
      <c r="A401" s="26">
        <v>410.0</v>
      </c>
      <c r="B401" s="25">
        <v>45198.0</v>
      </c>
      <c r="C401" s="26" t="s">
        <v>1192</v>
      </c>
      <c r="D401" s="26" t="s">
        <v>1193</v>
      </c>
      <c r="E401" s="26" t="s">
        <v>1194</v>
      </c>
    </row>
    <row r="402">
      <c r="A402" s="26">
        <v>411.0</v>
      </c>
      <c r="B402" s="25">
        <v>45198.0</v>
      </c>
      <c r="C402" s="26" t="s">
        <v>1195</v>
      </c>
      <c r="D402" s="26" t="s">
        <v>1196</v>
      </c>
      <c r="E402" s="26" t="s">
        <v>1197</v>
      </c>
    </row>
    <row r="403">
      <c r="A403" s="26">
        <v>412.0</v>
      </c>
      <c r="B403" s="25">
        <v>45198.0</v>
      </c>
      <c r="C403" s="26" t="s">
        <v>1198</v>
      </c>
      <c r="D403" s="26" t="s">
        <v>643</v>
      </c>
      <c r="E403" s="26" t="s">
        <v>1199</v>
      </c>
    </row>
    <row r="404">
      <c r="A404" s="26">
        <v>413.0</v>
      </c>
      <c r="B404" s="25">
        <v>45199.0</v>
      </c>
      <c r="C404" s="26" t="s">
        <v>1200</v>
      </c>
      <c r="D404" s="26" t="s">
        <v>1201</v>
      </c>
      <c r="E404" s="26" t="s">
        <v>1202</v>
      </c>
    </row>
    <row r="405">
      <c r="A405" s="26">
        <v>414.0</v>
      </c>
      <c r="B405" s="25">
        <v>45199.0</v>
      </c>
      <c r="C405" s="26" t="s">
        <v>1203</v>
      </c>
      <c r="D405" s="26" t="s">
        <v>1204</v>
      </c>
      <c r="E405" s="26" t="s">
        <v>1205</v>
      </c>
    </row>
    <row r="406">
      <c r="A406" s="26">
        <v>415.0</v>
      </c>
      <c r="B406" s="25">
        <v>45202.0</v>
      </c>
      <c r="C406" s="26" t="s">
        <v>1206</v>
      </c>
      <c r="D406" s="26" t="s">
        <v>1207</v>
      </c>
      <c r="E406" s="26" t="s">
        <v>1208</v>
      </c>
    </row>
    <row r="407">
      <c r="A407" s="26">
        <v>416.0</v>
      </c>
      <c r="B407" s="25">
        <v>45204.0</v>
      </c>
      <c r="C407" s="26" t="s">
        <v>1209</v>
      </c>
      <c r="D407" s="26" t="s">
        <v>1210</v>
      </c>
      <c r="E407" s="26" t="s">
        <v>1211</v>
      </c>
    </row>
    <row r="408">
      <c r="A408" s="26">
        <v>417.0</v>
      </c>
      <c r="B408" s="25">
        <v>45204.0</v>
      </c>
      <c r="C408" s="26" t="s">
        <v>1212</v>
      </c>
      <c r="D408" s="26" t="s">
        <v>1213</v>
      </c>
      <c r="E408" s="26" t="s">
        <v>1214</v>
      </c>
    </row>
    <row r="409">
      <c r="A409" s="26">
        <v>418.0</v>
      </c>
      <c r="B409" s="25">
        <v>45206.0</v>
      </c>
      <c r="C409" s="26" t="s">
        <v>1215</v>
      </c>
      <c r="D409" s="26" t="s">
        <v>1216</v>
      </c>
      <c r="E409" s="26" t="s">
        <v>1217</v>
      </c>
    </row>
    <row r="410">
      <c r="A410" s="26">
        <v>419.0</v>
      </c>
      <c r="B410" s="25">
        <v>45210.0</v>
      </c>
      <c r="C410" s="26" t="s">
        <v>1218</v>
      </c>
      <c r="D410" s="26" t="s">
        <v>1219</v>
      </c>
      <c r="E410" s="26" t="s">
        <v>1220</v>
      </c>
    </row>
    <row r="411">
      <c r="A411" s="26">
        <v>420.0</v>
      </c>
      <c r="B411" s="25">
        <v>45210.0</v>
      </c>
      <c r="C411" s="26" t="s">
        <v>1221</v>
      </c>
      <c r="D411" s="26" t="s">
        <v>1222</v>
      </c>
      <c r="E411" s="26" t="s">
        <v>1223</v>
      </c>
    </row>
    <row r="412">
      <c r="A412" s="26">
        <v>421.0</v>
      </c>
      <c r="B412" s="25">
        <v>45210.0</v>
      </c>
      <c r="C412" s="26" t="s">
        <v>1224</v>
      </c>
      <c r="D412" s="26" t="s">
        <v>1225</v>
      </c>
      <c r="E412" s="26" t="s">
        <v>1226</v>
      </c>
    </row>
    <row r="413">
      <c r="A413" s="26">
        <v>422.0</v>
      </c>
      <c r="B413" s="25">
        <v>45210.0</v>
      </c>
      <c r="C413" s="26" t="s">
        <v>1227</v>
      </c>
      <c r="D413" s="26" t="s">
        <v>1228</v>
      </c>
      <c r="E413" s="26" t="s">
        <v>1229</v>
      </c>
    </row>
    <row r="414">
      <c r="A414" s="26">
        <v>423.0</v>
      </c>
      <c r="B414" s="25">
        <v>45212.0</v>
      </c>
      <c r="C414" s="26" t="s">
        <v>1230</v>
      </c>
      <c r="D414" s="26" t="s">
        <v>1231</v>
      </c>
      <c r="E414" s="26" t="s">
        <v>1232</v>
      </c>
    </row>
    <row r="415">
      <c r="A415" s="26">
        <v>424.0</v>
      </c>
      <c r="B415" s="25">
        <v>45212.0</v>
      </c>
      <c r="C415" s="26" t="s">
        <v>1233</v>
      </c>
      <c r="D415" s="26" t="s">
        <v>1234</v>
      </c>
      <c r="E415" s="26" t="s">
        <v>1235</v>
      </c>
    </row>
    <row r="416">
      <c r="A416" s="26">
        <v>425.0</v>
      </c>
      <c r="B416" s="25">
        <v>45212.0</v>
      </c>
      <c r="C416" s="26" t="s">
        <v>1236</v>
      </c>
      <c r="D416" s="26" t="s">
        <v>1237</v>
      </c>
      <c r="E416" s="26" t="s">
        <v>1238</v>
      </c>
    </row>
    <row r="417">
      <c r="A417" s="26">
        <v>426.0</v>
      </c>
      <c r="B417" s="25">
        <v>45219.0</v>
      </c>
      <c r="C417" s="26" t="s">
        <v>1239</v>
      </c>
      <c r="D417" s="26" t="s">
        <v>1240</v>
      </c>
      <c r="E417" s="26" t="s">
        <v>1241</v>
      </c>
    </row>
    <row r="418">
      <c r="A418" s="26">
        <v>427.0</v>
      </c>
      <c r="B418" s="25">
        <v>45220.0</v>
      </c>
      <c r="C418" s="26" t="s">
        <v>1242</v>
      </c>
      <c r="D418" s="26" t="s">
        <v>1243</v>
      </c>
      <c r="E418" s="26" t="s">
        <v>1244</v>
      </c>
    </row>
    <row r="419">
      <c r="A419" s="26">
        <v>428.0</v>
      </c>
      <c r="B419" s="25">
        <v>45220.0</v>
      </c>
      <c r="C419" s="26" t="s">
        <v>1245</v>
      </c>
      <c r="D419" s="26" t="s">
        <v>1246</v>
      </c>
      <c r="E419" s="26" t="s">
        <v>1247</v>
      </c>
    </row>
    <row r="420">
      <c r="A420" s="26">
        <v>429.0</v>
      </c>
      <c r="B420" s="25">
        <v>45221.0</v>
      </c>
      <c r="C420" s="26" t="s">
        <v>1248</v>
      </c>
      <c r="D420" s="26" t="s">
        <v>1249</v>
      </c>
      <c r="E420" s="26" t="s">
        <v>1250</v>
      </c>
    </row>
    <row r="421">
      <c r="A421" s="26">
        <v>430.0</v>
      </c>
      <c r="B421" s="25">
        <v>45221.0</v>
      </c>
      <c r="C421" s="26" t="s">
        <v>1251</v>
      </c>
      <c r="D421" s="26" t="s">
        <v>1252</v>
      </c>
      <c r="E421" s="26" t="s">
        <v>1253</v>
      </c>
    </row>
    <row r="422">
      <c r="A422" s="26">
        <v>431.0</v>
      </c>
      <c r="B422" s="25">
        <v>45221.0</v>
      </c>
      <c r="C422" s="26" t="s">
        <v>1254</v>
      </c>
      <c r="D422" s="26" t="s">
        <v>1255</v>
      </c>
      <c r="E422" s="26" t="s">
        <v>1256</v>
      </c>
    </row>
    <row r="423">
      <c r="A423" s="26">
        <v>432.0</v>
      </c>
      <c r="B423" s="25">
        <v>45222.0</v>
      </c>
      <c r="C423" s="26" t="s">
        <v>1257</v>
      </c>
      <c r="D423" s="26" t="s">
        <v>1258</v>
      </c>
      <c r="E423" s="26" t="s">
        <v>1259</v>
      </c>
    </row>
    <row r="424">
      <c r="A424" s="26">
        <v>433.0</v>
      </c>
      <c r="B424" s="25">
        <v>45222.0</v>
      </c>
      <c r="C424" s="26" t="s">
        <v>1260</v>
      </c>
      <c r="D424" s="26" t="s">
        <v>1261</v>
      </c>
      <c r="E424" s="26" t="s">
        <v>1262</v>
      </c>
    </row>
    <row r="425">
      <c r="A425" s="26">
        <v>434.0</v>
      </c>
      <c r="B425" s="25">
        <v>45222.0</v>
      </c>
      <c r="C425" s="26" t="s">
        <v>1263</v>
      </c>
      <c r="D425" s="26" t="s">
        <v>1264</v>
      </c>
      <c r="E425" s="26" t="s">
        <v>1265</v>
      </c>
    </row>
    <row r="426">
      <c r="A426" s="26">
        <v>435.0</v>
      </c>
      <c r="B426" s="25">
        <v>45224.0</v>
      </c>
      <c r="C426" s="26" t="s">
        <v>1266</v>
      </c>
      <c r="D426" s="26" t="s">
        <v>1267</v>
      </c>
      <c r="E426" s="26" t="s">
        <v>1268</v>
      </c>
    </row>
    <row r="427">
      <c r="A427" s="26">
        <v>436.0</v>
      </c>
      <c r="B427" s="25">
        <v>45224.0</v>
      </c>
      <c r="C427" s="26" t="s">
        <v>1269</v>
      </c>
      <c r="D427" s="26" t="s">
        <v>1270</v>
      </c>
      <c r="E427" s="26" t="s">
        <v>1271</v>
      </c>
    </row>
    <row r="428">
      <c r="A428" s="26">
        <v>437.0</v>
      </c>
      <c r="B428" s="25">
        <v>45225.0</v>
      </c>
      <c r="C428" s="26" t="s">
        <v>1272</v>
      </c>
      <c r="D428" s="26" t="s">
        <v>1273</v>
      </c>
      <c r="E428" s="26" t="s">
        <v>1274</v>
      </c>
    </row>
    <row r="429">
      <c r="A429" s="26">
        <v>438.0</v>
      </c>
      <c r="B429" s="25">
        <v>45225.0</v>
      </c>
      <c r="C429" s="26" t="s">
        <v>1275</v>
      </c>
      <c r="D429" s="26" t="s">
        <v>1276</v>
      </c>
      <c r="E429" s="26" t="s">
        <v>1277</v>
      </c>
    </row>
    <row r="430">
      <c r="A430" s="26">
        <v>439.0</v>
      </c>
      <c r="B430" s="25">
        <v>45226.0</v>
      </c>
      <c r="C430" s="26" t="s">
        <v>1278</v>
      </c>
      <c r="D430" s="26" t="s">
        <v>1279</v>
      </c>
      <c r="E430" s="26" t="s">
        <v>1280</v>
      </c>
    </row>
    <row r="431">
      <c r="A431" s="26">
        <v>440.0</v>
      </c>
      <c r="B431" s="25">
        <v>45226.0</v>
      </c>
      <c r="C431" s="26" t="s">
        <v>1281</v>
      </c>
      <c r="D431" s="26" t="s">
        <v>1282</v>
      </c>
      <c r="E431" s="26" t="s">
        <v>1283</v>
      </c>
    </row>
    <row r="432">
      <c r="A432" s="26">
        <v>441.0</v>
      </c>
      <c r="B432" s="25">
        <v>45231.0</v>
      </c>
      <c r="C432" s="26" t="s">
        <v>1284</v>
      </c>
      <c r="D432" s="26" t="s">
        <v>1285</v>
      </c>
      <c r="E432" s="26" t="s">
        <v>1286</v>
      </c>
    </row>
    <row r="433">
      <c r="A433" s="26">
        <v>442.0</v>
      </c>
      <c r="B433" s="25">
        <v>45231.0</v>
      </c>
      <c r="C433" s="26" t="s">
        <v>1287</v>
      </c>
      <c r="D433" s="26" t="s">
        <v>1288</v>
      </c>
      <c r="E433" s="26" t="s">
        <v>1289</v>
      </c>
    </row>
    <row r="434">
      <c r="A434" s="26">
        <v>443.0</v>
      </c>
      <c r="B434" s="25">
        <v>45231.0</v>
      </c>
      <c r="C434" s="26" t="s">
        <v>1290</v>
      </c>
      <c r="D434" s="26" t="s">
        <v>1291</v>
      </c>
      <c r="E434" s="26" t="s">
        <v>1292</v>
      </c>
    </row>
    <row r="435">
      <c r="A435" s="26">
        <v>444.0</v>
      </c>
      <c r="B435" s="25">
        <v>45231.0</v>
      </c>
      <c r="C435" s="26" t="s">
        <v>1293</v>
      </c>
      <c r="D435" s="26" t="s">
        <v>1294</v>
      </c>
      <c r="E435" s="26" t="s">
        <v>1295</v>
      </c>
    </row>
    <row r="436">
      <c r="A436" s="26">
        <v>445.0</v>
      </c>
      <c r="B436" s="25">
        <v>45232.0</v>
      </c>
      <c r="C436" s="26" t="s">
        <v>1296</v>
      </c>
      <c r="D436" s="26" t="s">
        <v>1297</v>
      </c>
      <c r="E436" s="26" t="s">
        <v>1298</v>
      </c>
    </row>
    <row r="437" ht="38.25" customHeight="1">
      <c r="A437" s="26">
        <v>446.0</v>
      </c>
      <c r="B437" s="25">
        <v>45232.0</v>
      </c>
      <c r="C437" s="26" t="s">
        <v>1299</v>
      </c>
      <c r="D437" s="26" t="s">
        <v>1300</v>
      </c>
      <c r="E437" s="26" t="s">
        <v>1301</v>
      </c>
    </row>
    <row r="438">
      <c r="A438" s="26">
        <v>447.0</v>
      </c>
      <c r="B438" s="25">
        <v>45232.0</v>
      </c>
      <c r="C438" s="26" t="s">
        <v>1302</v>
      </c>
      <c r="D438" s="26" t="s">
        <v>1303</v>
      </c>
      <c r="E438" s="26" t="s">
        <v>1304</v>
      </c>
    </row>
    <row r="439">
      <c r="A439" s="26">
        <v>448.0</v>
      </c>
      <c r="B439" s="25">
        <v>45234.0</v>
      </c>
      <c r="C439" s="26" t="s">
        <v>1305</v>
      </c>
      <c r="D439" s="26"/>
      <c r="E439" s="26"/>
    </row>
    <row r="440">
      <c r="A440" s="26">
        <v>449.0</v>
      </c>
      <c r="B440" s="25">
        <v>45236.0</v>
      </c>
      <c r="C440" s="26" t="s">
        <v>1306</v>
      </c>
      <c r="D440" s="26" t="s">
        <v>1307</v>
      </c>
      <c r="E440" s="26" t="s">
        <v>1308</v>
      </c>
    </row>
    <row r="441">
      <c r="A441" s="26">
        <v>450.0</v>
      </c>
      <c r="B441" s="25">
        <v>45239.0</v>
      </c>
      <c r="C441" s="26" t="s">
        <v>1309</v>
      </c>
      <c r="D441" s="26" t="s">
        <v>1310</v>
      </c>
      <c r="E441" s="26" t="s">
        <v>1311</v>
      </c>
    </row>
    <row r="442">
      <c r="A442" s="26">
        <v>451.0</v>
      </c>
      <c r="B442" s="25">
        <v>45241.0</v>
      </c>
      <c r="C442" s="26" t="s">
        <v>1312</v>
      </c>
      <c r="D442" s="26" t="s">
        <v>1313</v>
      </c>
      <c r="E442" s="26" t="s">
        <v>1314</v>
      </c>
    </row>
    <row r="443">
      <c r="A443" s="26">
        <v>452.0</v>
      </c>
      <c r="B443" s="25">
        <v>45241.0</v>
      </c>
      <c r="C443" s="26" t="s">
        <v>1315</v>
      </c>
      <c r="D443" s="26" t="s">
        <v>1316</v>
      </c>
      <c r="E443" s="26" t="s">
        <v>1317</v>
      </c>
    </row>
    <row r="444">
      <c r="A444" s="26">
        <v>453.0</v>
      </c>
      <c r="B444" s="25">
        <v>45241.0</v>
      </c>
      <c r="C444" s="26" t="s">
        <v>1318</v>
      </c>
      <c r="D444" s="26" t="s">
        <v>1319</v>
      </c>
      <c r="E444" s="26" t="s">
        <v>1320</v>
      </c>
    </row>
    <row r="445">
      <c r="A445" s="26">
        <v>454.0</v>
      </c>
      <c r="B445" s="25">
        <v>45243.0</v>
      </c>
      <c r="C445" s="26" t="s">
        <v>1321</v>
      </c>
      <c r="D445" s="26" t="s">
        <v>1322</v>
      </c>
      <c r="E445" s="26" t="s">
        <v>1323</v>
      </c>
    </row>
    <row r="446">
      <c r="A446" s="26">
        <v>455.0</v>
      </c>
      <c r="B446" s="25">
        <v>45244.0</v>
      </c>
      <c r="C446" s="26" t="s">
        <v>1324</v>
      </c>
      <c r="D446" s="26" t="s">
        <v>1325</v>
      </c>
      <c r="E446" s="26" t="s">
        <v>1326</v>
      </c>
    </row>
    <row r="447">
      <c r="A447" s="26">
        <v>456.0</v>
      </c>
      <c r="B447" s="25">
        <v>45246.0</v>
      </c>
      <c r="C447" s="26" t="s">
        <v>1327</v>
      </c>
      <c r="D447" s="26" t="s">
        <v>1328</v>
      </c>
      <c r="E447" s="26" t="s">
        <v>1329</v>
      </c>
    </row>
    <row r="448">
      <c r="A448" s="26">
        <v>457.0</v>
      </c>
      <c r="B448" s="25">
        <v>45246.0</v>
      </c>
      <c r="C448" s="26" t="s">
        <v>1330</v>
      </c>
      <c r="D448" s="26" t="s">
        <v>1331</v>
      </c>
      <c r="E448" s="26" t="s">
        <v>1332</v>
      </c>
    </row>
    <row r="449">
      <c r="A449" s="26">
        <v>458.0</v>
      </c>
      <c r="B449" s="25">
        <v>45247.0</v>
      </c>
      <c r="C449" s="26" t="s">
        <v>1333</v>
      </c>
      <c r="D449" s="26" t="s">
        <v>1334</v>
      </c>
      <c r="E449" s="26" t="s">
        <v>1335</v>
      </c>
    </row>
    <row r="450">
      <c r="A450" s="26">
        <v>459.0</v>
      </c>
      <c r="B450" s="25">
        <v>45247.0</v>
      </c>
      <c r="C450" s="26" t="s">
        <v>1336</v>
      </c>
      <c r="D450" s="26" t="s">
        <v>1337</v>
      </c>
      <c r="E450" s="26" t="s">
        <v>1338</v>
      </c>
    </row>
    <row r="451">
      <c r="A451" s="26">
        <v>460.0</v>
      </c>
      <c r="B451" s="25">
        <v>45247.0</v>
      </c>
      <c r="C451" s="26" t="s">
        <v>1339</v>
      </c>
      <c r="D451" s="26" t="s">
        <v>1340</v>
      </c>
      <c r="E451" s="26" t="s">
        <v>1341</v>
      </c>
    </row>
    <row r="452">
      <c r="A452" s="26">
        <v>461.0</v>
      </c>
      <c r="B452" s="25">
        <v>45250.0</v>
      </c>
      <c r="C452" s="26" t="s">
        <v>1342</v>
      </c>
      <c r="D452" s="26" t="s">
        <v>1343</v>
      </c>
      <c r="E452" s="26" t="s">
        <v>1301</v>
      </c>
    </row>
    <row r="453">
      <c r="A453" s="26">
        <v>462.0</v>
      </c>
      <c r="B453" s="25">
        <v>45251.0</v>
      </c>
      <c r="C453" s="26" t="s">
        <v>1344</v>
      </c>
      <c r="D453" s="26" t="s">
        <v>1345</v>
      </c>
      <c r="E453" s="26" t="s">
        <v>1346</v>
      </c>
    </row>
    <row r="454">
      <c r="A454" s="26">
        <v>463.0</v>
      </c>
      <c r="B454" s="25">
        <v>45252.0</v>
      </c>
      <c r="C454" s="26" t="s">
        <v>1347</v>
      </c>
      <c r="D454" s="26" t="s">
        <v>1348</v>
      </c>
      <c r="E454" s="26" t="s">
        <v>1349</v>
      </c>
    </row>
    <row r="455">
      <c r="A455" s="26">
        <v>464.0</v>
      </c>
      <c r="B455" s="25">
        <v>45252.0</v>
      </c>
      <c r="C455" s="26" t="s">
        <v>1350</v>
      </c>
      <c r="D455" s="26" t="s">
        <v>1351</v>
      </c>
      <c r="E455" s="26" t="s">
        <v>1352</v>
      </c>
    </row>
    <row r="456">
      <c r="A456" s="26">
        <v>465.0</v>
      </c>
      <c r="B456" s="25">
        <v>45253.0</v>
      </c>
      <c r="C456" s="26" t="s">
        <v>1353</v>
      </c>
      <c r="D456" s="26" t="s">
        <v>1354</v>
      </c>
      <c r="E456" s="26" t="s">
        <v>1355</v>
      </c>
    </row>
    <row r="457">
      <c r="A457" s="26">
        <v>466.0</v>
      </c>
      <c r="B457" s="25">
        <v>45253.0</v>
      </c>
      <c r="C457" s="26" t="s">
        <v>1356</v>
      </c>
      <c r="D457" s="26" t="s">
        <v>1357</v>
      </c>
      <c r="E457" s="26" t="s">
        <v>1358</v>
      </c>
    </row>
    <row r="458">
      <c r="A458" s="26">
        <v>467.0</v>
      </c>
      <c r="B458" s="25">
        <v>45253.0</v>
      </c>
      <c r="C458" s="26" t="s">
        <v>1359</v>
      </c>
      <c r="D458" s="26" t="s">
        <v>1360</v>
      </c>
      <c r="E458" s="26" t="s">
        <v>1361</v>
      </c>
    </row>
    <row r="459">
      <c r="A459" s="26">
        <v>468.0</v>
      </c>
      <c r="B459" s="25">
        <v>45253.0</v>
      </c>
      <c r="C459" s="26" t="s">
        <v>1362</v>
      </c>
      <c r="D459" s="26" t="s">
        <v>1363</v>
      </c>
      <c r="E459" s="26" t="s">
        <v>1364</v>
      </c>
    </row>
    <row r="460">
      <c r="A460" s="26">
        <v>469.0</v>
      </c>
      <c r="B460" s="25">
        <v>45253.0</v>
      </c>
      <c r="C460" s="26" t="s">
        <v>1365</v>
      </c>
      <c r="D460" s="26" t="s">
        <v>1366</v>
      </c>
      <c r="E460" s="26" t="s">
        <v>1367</v>
      </c>
    </row>
    <row r="461">
      <c r="A461" s="26">
        <v>470.0</v>
      </c>
      <c r="B461" s="25">
        <v>45626.0</v>
      </c>
      <c r="C461" s="38" t="s">
        <v>1368</v>
      </c>
      <c r="D461" s="26" t="s">
        <v>1369</v>
      </c>
      <c r="E461" s="26" t="s">
        <v>1370</v>
      </c>
    </row>
    <row r="462">
      <c r="A462" s="26">
        <v>471.0</v>
      </c>
      <c r="B462" s="39">
        <v>45630.0</v>
      </c>
      <c r="C462" s="38" t="s">
        <v>1371</v>
      </c>
      <c r="D462" s="26" t="s">
        <v>1372</v>
      </c>
      <c r="E462" s="26" t="s">
        <v>1373</v>
      </c>
    </row>
    <row r="463">
      <c r="A463" s="26">
        <v>472.0</v>
      </c>
      <c r="B463" s="39">
        <v>45631.0</v>
      </c>
      <c r="C463" s="38" t="s">
        <v>1374</v>
      </c>
      <c r="D463" s="26" t="s">
        <v>1375</v>
      </c>
      <c r="E463" s="26" t="s">
        <v>1376</v>
      </c>
    </row>
    <row r="464">
      <c r="A464" s="26">
        <v>473.0</v>
      </c>
      <c r="B464" s="39">
        <v>45632.0</v>
      </c>
      <c r="C464" s="38" t="s">
        <v>1377</v>
      </c>
      <c r="D464" s="26" t="s">
        <v>1378</v>
      </c>
      <c r="E464" s="26" t="s">
        <v>1379</v>
      </c>
    </row>
    <row r="465">
      <c r="A465" s="26">
        <v>474.0</v>
      </c>
      <c r="B465" s="39">
        <v>45633.0</v>
      </c>
      <c r="C465" s="38" t="s">
        <v>1380</v>
      </c>
      <c r="D465" s="26" t="s">
        <v>1381</v>
      </c>
      <c r="E465" s="26" t="s">
        <v>1382</v>
      </c>
    </row>
    <row r="466">
      <c r="A466" s="26">
        <v>475.0</v>
      </c>
      <c r="B466" s="39">
        <v>45633.0</v>
      </c>
      <c r="C466" s="38" t="s">
        <v>1383</v>
      </c>
      <c r="D466" s="26" t="s">
        <v>1384</v>
      </c>
      <c r="E466" s="26" t="s">
        <v>1385</v>
      </c>
    </row>
    <row r="467">
      <c r="A467" s="26">
        <v>476.0</v>
      </c>
      <c r="B467" s="39">
        <v>45637.0</v>
      </c>
      <c r="C467" s="38" t="s">
        <v>1386</v>
      </c>
      <c r="D467" s="26" t="s">
        <v>1387</v>
      </c>
      <c r="E467" s="26" t="s">
        <v>1388</v>
      </c>
    </row>
    <row r="468">
      <c r="A468" s="26">
        <v>477.0</v>
      </c>
      <c r="B468" s="39">
        <v>45639.0</v>
      </c>
      <c r="C468" s="38" t="s">
        <v>1389</v>
      </c>
      <c r="D468" s="26" t="s">
        <v>1390</v>
      </c>
      <c r="E468" s="26" t="s">
        <v>1391</v>
      </c>
    </row>
    <row r="469">
      <c r="A469" s="26">
        <v>478.0</v>
      </c>
      <c r="B469" s="39">
        <v>45641.0</v>
      </c>
      <c r="C469" s="38" t="s">
        <v>1392</v>
      </c>
      <c r="D469" s="26" t="s">
        <v>1393</v>
      </c>
      <c r="E469" s="26" t="s">
        <v>1394</v>
      </c>
    </row>
    <row r="470">
      <c r="A470" s="26">
        <v>479.0</v>
      </c>
      <c r="B470" s="39">
        <v>45642.0</v>
      </c>
      <c r="C470" s="38" t="s">
        <v>1395</v>
      </c>
      <c r="D470" s="26" t="s">
        <v>1396</v>
      </c>
      <c r="E470" s="26" t="s">
        <v>1397</v>
      </c>
    </row>
    <row r="471">
      <c r="A471" s="26">
        <v>480.0</v>
      </c>
      <c r="B471" s="39">
        <v>45644.0</v>
      </c>
      <c r="C471" s="38" t="s">
        <v>1398</v>
      </c>
      <c r="D471" s="26" t="s">
        <v>1399</v>
      </c>
      <c r="E471" s="26" t="s">
        <v>1400</v>
      </c>
    </row>
    <row r="472">
      <c r="A472" s="26">
        <v>481.0</v>
      </c>
      <c r="B472" s="39">
        <v>45645.0</v>
      </c>
      <c r="C472" s="38" t="s">
        <v>1401</v>
      </c>
      <c r="D472" s="26" t="s">
        <v>1402</v>
      </c>
      <c r="E472" s="26" t="s">
        <v>1403</v>
      </c>
    </row>
    <row r="473">
      <c r="A473" s="26">
        <v>482.0</v>
      </c>
      <c r="B473" s="39">
        <v>45646.0</v>
      </c>
      <c r="C473" s="38" t="s">
        <v>1404</v>
      </c>
      <c r="D473" s="26" t="s">
        <v>1405</v>
      </c>
      <c r="E473" s="26" t="s">
        <v>1406</v>
      </c>
    </row>
    <row r="474">
      <c r="A474" s="26">
        <v>483.0</v>
      </c>
      <c r="B474" s="39">
        <v>45646.0</v>
      </c>
      <c r="C474" s="38" t="s">
        <v>1407</v>
      </c>
      <c r="D474" s="26" t="s">
        <v>1408</v>
      </c>
      <c r="E474" s="26" t="s">
        <v>1409</v>
      </c>
    </row>
    <row r="475">
      <c r="A475" s="26">
        <v>484.0</v>
      </c>
      <c r="B475" s="39">
        <v>45647.0</v>
      </c>
      <c r="C475" s="38" t="s">
        <v>1410</v>
      </c>
      <c r="D475" s="26" t="s">
        <v>1411</v>
      </c>
      <c r="E475" s="26" t="s">
        <v>1412</v>
      </c>
    </row>
    <row r="476">
      <c r="A476" s="26">
        <v>485.0</v>
      </c>
      <c r="B476" s="39">
        <v>45647.0</v>
      </c>
      <c r="C476" s="38" t="s">
        <v>1413</v>
      </c>
      <c r="D476" s="26" t="s">
        <v>1414</v>
      </c>
      <c r="E476" s="26" t="s">
        <v>1415</v>
      </c>
    </row>
    <row r="477">
      <c r="A477" s="26">
        <v>486.0</v>
      </c>
      <c r="B477" s="39">
        <v>45647.0</v>
      </c>
      <c r="C477" s="38" t="s">
        <v>1416</v>
      </c>
      <c r="D477" s="26" t="s">
        <v>1417</v>
      </c>
      <c r="E477" s="26" t="s">
        <v>1418</v>
      </c>
    </row>
    <row r="478">
      <c r="A478" s="26">
        <v>487.0</v>
      </c>
      <c r="B478" s="39">
        <v>45649.0</v>
      </c>
      <c r="C478" s="38" t="s">
        <v>1419</v>
      </c>
      <c r="D478" s="26" t="s">
        <v>1420</v>
      </c>
      <c r="E478" s="26" t="s">
        <v>1421</v>
      </c>
    </row>
    <row r="479">
      <c r="A479" s="26">
        <v>488.0</v>
      </c>
      <c r="B479" s="39">
        <v>45650.0</v>
      </c>
      <c r="C479" s="38" t="s">
        <v>1422</v>
      </c>
      <c r="D479" s="26" t="s">
        <v>1423</v>
      </c>
      <c r="E479" s="26" t="s">
        <v>1424</v>
      </c>
    </row>
    <row r="480">
      <c r="A480" s="26">
        <v>489.0</v>
      </c>
      <c r="B480" s="39">
        <v>45653.0</v>
      </c>
      <c r="C480" s="38" t="s">
        <v>1425</v>
      </c>
      <c r="D480" s="26" t="s">
        <v>1426</v>
      </c>
      <c r="E480" s="26" t="s">
        <v>1427</v>
      </c>
    </row>
    <row r="481">
      <c r="A481" s="26">
        <v>490.0</v>
      </c>
      <c r="B481" s="39">
        <v>45653.0</v>
      </c>
      <c r="C481" s="38" t="s">
        <v>1428</v>
      </c>
      <c r="D481" s="26" t="s">
        <v>1429</v>
      </c>
      <c r="E481" s="26" t="s">
        <v>1430</v>
      </c>
    </row>
    <row r="482">
      <c r="A482" s="26">
        <v>491.0</v>
      </c>
      <c r="B482" s="39">
        <v>45655.0</v>
      </c>
      <c r="C482" s="38" t="s">
        <v>1431</v>
      </c>
      <c r="D482" s="26" t="s">
        <v>1432</v>
      </c>
      <c r="E482" s="26" t="s">
        <v>1433</v>
      </c>
    </row>
    <row r="483">
      <c r="A483" s="26">
        <v>492.0</v>
      </c>
      <c r="B483" s="39">
        <v>45655.0</v>
      </c>
      <c r="C483" s="38" t="s">
        <v>1434</v>
      </c>
      <c r="D483" s="26" t="s">
        <v>1435</v>
      </c>
      <c r="E483" s="26" t="s">
        <v>1436</v>
      </c>
    </row>
    <row r="484">
      <c r="A484" s="26">
        <v>493.0</v>
      </c>
      <c r="B484" s="39">
        <v>45657.0</v>
      </c>
      <c r="C484" s="38" t="s">
        <v>1437</v>
      </c>
      <c r="D484" s="26" t="s">
        <v>1438</v>
      </c>
      <c r="E484" s="26" t="s">
        <v>1439</v>
      </c>
    </row>
    <row r="485">
      <c r="A485" s="26">
        <v>494.0</v>
      </c>
      <c r="B485" s="39">
        <v>45657.0</v>
      </c>
      <c r="C485" s="38" t="s">
        <v>1440</v>
      </c>
      <c r="D485" s="26"/>
      <c r="E485" s="26"/>
    </row>
    <row r="486">
      <c r="A486" s="26">
        <v>495.0</v>
      </c>
      <c r="B486" s="39">
        <v>45294.0</v>
      </c>
      <c r="C486" s="38" t="s">
        <v>1441</v>
      </c>
      <c r="D486" s="26" t="s">
        <v>1442</v>
      </c>
      <c r="E486" s="26" t="s">
        <v>1443</v>
      </c>
    </row>
    <row r="487">
      <c r="A487" s="26">
        <v>495.0</v>
      </c>
      <c r="B487" s="39">
        <v>45294.0</v>
      </c>
      <c r="C487" s="38" t="s">
        <v>1444</v>
      </c>
      <c r="D487" s="26" t="s">
        <v>1442</v>
      </c>
      <c r="E487" s="26" t="s">
        <v>1443</v>
      </c>
    </row>
    <row r="488">
      <c r="A488" s="26">
        <v>496.0</v>
      </c>
      <c r="B488" s="39">
        <v>45295.0</v>
      </c>
      <c r="C488" s="38" t="s">
        <v>1445</v>
      </c>
      <c r="D488" s="26" t="s">
        <v>1446</v>
      </c>
      <c r="E488" s="26" t="s">
        <v>1447</v>
      </c>
    </row>
    <row r="489">
      <c r="A489" s="26">
        <v>497.0</v>
      </c>
      <c r="B489" s="39">
        <v>45295.0</v>
      </c>
      <c r="C489" s="38" t="s">
        <v>1448</v>
      </c>
      <c r="D489" s="26" t="s">
        <v>1449</v>
      </c>
      <c r="E489" s="26" t="s">
        <v>1450</v>
      </c>
    </row>
    <row r="490">
      <c r="A490" s="26">
        <v>498.0</v>
      </c>
      <c r="B490" s="39">
        <v>45295.0</v>
      </c>
      <c r="C490" s="38" t="s">
        <v>1451</v>
      </c>
      <c r="D490" s="26" t="s">
        <v>1452</v>
      </c>
      <c r="E490" s="26" t="s">
        <v>1453</v>
      </c>
    </row>
    <row r="491">
      <c r="A491" s="26">
        <v>499.0</v>
      </c>
      <c r="B491" s="39">
        <v>45652.0</v>
      </c>
      <c r="C491" s="38" t="s">
        <v>1454</v>
      </c>
      <c r="D491" s="26" t="s">
        <v>1455</v>
      </c>
      <c r="E491" s="26" t="s">
        <v>1456</v>
      </c>
    </row>
    <row r="492">
      <c r="A492" s="26">
        <v>500.0</v>
      </c>
      <c r="B492" s="39">
        <v>45296.0</v>
      </c>
      <c r="C492" s="38" t="s">
        <v>1457</v>
      </c>
      <c r="D492" s="26" t="s">
        <v>1458</v>
      </c>
      <c r="E492" s="26" t="s">
        <v>1459</v>
      </c>
    </row>
    <row r="493">
      <c r="A493" s="26">
        <v>501.0</v>
      </c>
      <c r="B493" s="39">
        <v>45297.0</v>
      </c>
      <c r="C493" s="38" t="s">
        <v>1460</v>
      </c>
      <c r="D493" s="26" t="s">
        <v>1461</v>
      </c>
      <c r="E493" s="26" t="s">
        <v>1462</v>
      </c>
    </row>
    <row r="494">
      <c r="A494" s="26">
        <v>502.0</v>
      </c>
      <c r="B494" s="39">
        <v>45298.0</v>
      </c>
      <c r="C494" s="38" t="s">
        <v>1463</v>
      </c>
      <c r="D494" s="26" t="s">
        <v>1464</v>
      </c>
      <c r="E494" s="26" t="s">
        <v>1465</v>
      </c>
    </row>
    <row r="495">
      <c r="A495" s="26">
        <v>503.0</v>
      </c>
      <c r="B495" s="39">
        <v>45299.0</v>
      </c>
      <c r="C495" s="38" t="s">
        <v>1466</v>
      </c>
      <c r="D495" s="26" t="s">
        <v>1467</v>
      </c>
      <c r="E495" s="26" t="s">
        <v>1468</v>
      </c>
    </row>
    <row r="496">
      <c r="A496" s="26">
        <v>504.0</v>
      </c>
      <c r="B496" s="39">
        <v>45300.0</v>
      </c>
      <c r="C496" s="38" t="s">
        <v>1469</v>
      </c>
      <c r="D496" s="26" t="s">
        <v>1470</v>
      </c>
      <c r="E496" s="26" t="s">
        <v>1471</v>
      </c>
    </row>
    <row r="497">
      <c r="A497" s="26">
        <v>505.0</v>
      </c>
      <c r="B497" s="39">
        <v>45300.0</v>
      </c>
      <c r="C497" s="38" t="s">
        <v>1472</v>
      </c>
      <c r="D497" s="26" t="s">
        <v>1473</v>
      </c>
      <c r="E497" s="26" t="s">
        <v>1474</v>
      </c>
    </row>
    <row r="498">
      <c r="A498" s="26">
        <v>506.0</v>
      </c>
      <c r="B498" s="39">
        <v>45301.0</v>
      </c>
      <c r="C498" s="38" t="s">
        <v>1475</v>
      </c>
      <c r="D498" s="26" t="s">
        <v>1476</v>
      </c>
      <c r="E498" s="26" t="s">
        <v>1477</v>
      </c>
    </row>
    <row r="499">
      <c r="A499" s="26">
        <v>507.0</v>
      </c>
      <c r="B499" s="39">
        <v>45302.0</v>
      </c>
      <c r="C499" s="38" t="s">
        <v>1478</v>
      </c>
      <c r="D499" s="26" t="s">
        <v>1479</v>
      </c>
      <c r="E499" s="26" t="s">
        <v>1480</v>
      </c>
    </row>
    <row r="500">
      <c r="A500" s="26">
        <v>508.0</v>
      </c>
      <c r="B500" s="39">
        <v>45302.0</v>
      </c>
      <c r="C500" s="38" t="s">
        <v>1481</v>
      </c>
      <c r="D500" s="26" t="s">
        <v>1482</v>
      </c>
      <c r="E500" s="26" t="s">
        <v>1483</v>
      </c>
    </row>
    <row r="501">
      <c r="A501" s="26">
        <v>509.0</v>
      </c>
      <c r="B501" s="39">
        <v>45303.0</v>
      </c>
      <c r="C501" s="38" t="s">
        <v>1484</v>
      </c>
      <c r="D501" s="26" t="s">
        <v>1485</v>
      </c>
      <c r="E501" s="26" t="s">
        <v>1486</v>
      </c>
    </row>
    <row r="502">
      <c r="A502" s="26">
        <v>510.0</v>
      </c>
      <c r="B502" s="39">
        <v>45303.0</v>
      </c>
      <c r="C502" s="38" t="s">
        <v>1487</v>
      </c>
      <c r="D502" s="26" t="s">
        <v>1488</v>
      </c>
      <c r="E502" s="26" t="s">
        <v>1489</v>
      </c>
    </row>
    <row r="503">
      <c r="A503" s="26">
        <v>511.0</v>
      </c>
      <c r="B503" s="39">
        <v>45308.0</v>
      </c>
      <c r="C503" s="38" t="s">
        <v>1490</v>
      </c>
      <c r="D503" s="26" t="s">
        <v>1491</v>
      </c>
      <c r="E503" s="26" t="s">
        <v>1492</v>
      </c>
    </row>
    <row r="504">
      <c r="A504" s="26">
        <v>512.0</v>
      </c>
      <c r="B504" s="39">
        <v>45309.0</v>
      </c>
      <c r="C504" s="38" t="s">
        <v>1493</v>
      </c>
      <c r="D504" s="26" t="s">
        <v>1494</v>
      </c>
      <c r="E504" s="26" t="s">
        <v>1495</v>
      </c>
    </row>
    <row r="505">
      <c r="A505" s="26">
        <v>513.0</v>
      </c>
      <c r="B505" s="39">
        <v>45314.0</v>
      </c>
      <c r="C505" s="38" t="s">
        <v>1496</v>
      </c>
      <c r="D505" s="26" t="s">
        <v>1497</v>
      </c>
      <c r="E505" s="26" t="s">
        <v>1498</v>
      </c>
    </row>
    <row r="506">
      <c r="A506" s="26">
        <v>514.0</v>
      </c>
      <c r="B506" s="39">
        <v>45314.0</v>
      </c>
      <c r="C506" s="38" t="s">
        <v>1499</v>
      </c>
      <c r="D506" s="26" t="s">
        <v>1500</v>
      </c>
      <c r="E506" s="26" t="s">
        <v>1501</v>
      </c>
    </row>
    <row r="507">
      <c r="A507" s="26">
        <v>515.0</v>
      </c>
      <c r="B507" s="39">
        <v>45317.0</v>
      </c>
      <c r="C507" s="38" t="s">
        <v>1502</v>
      </c>
      <c r="D507" s="26" t="s">
        <v>1503</v>
      </c>
      <c r="E507" s="26" t="s">
        <v>1504</v>
      </c>
    </row>
    <row r="508">
      <c r="A508" s="26">
        <v>516.0</v>
      </c>
      <c r="B508" s="39">
        <v>45317.0</v>
      </c>
      <c r="C508" s="38" t="s">
        <v>1505</v>
      </c>
      <c r="D508" s="26" t="s">
        <v>1506</v>
      </c>
      <c r="E508" s="26" t="s">
        <v>1507</v>
      </c>
    </row>
    <row r="509">
      <c r="A509" s="26">
        <v>517.0</v>
      </c>
      <c r="B509" s="39">
        <v>45318.0</v>
      </c>
      <c r="C509" s="38" t="s">
        <v>1508</v>
      </c>
      <c r="D509" s="26" t="s">
        <v>1509</v>
      </c>
      <c r="E509" s="26" t="s">
        <v>1510</v>
      </c>
    </row>
    <row r="510">
      <c r="A510" s="26">
        <v>518.0</v>
      </c>
      <c r="B510" s="39">
        <v>45319.0</v>
      </c>
      <c r="C510" s="38" t="s">
        <v>1511</v>
      </c>
      <c r="D510" s="26" t="s">
        <v>1512</v>
      </c>
      <c r="E510" s="26" t="s">
        <v>1513</v>
      </c>
    </row>
    <row r="511">
      <c r="A511" s="26">
        <v>519.0</v>
      </c>
      <c r="B511" s="39">
        <v>45320.0</v>
      </c>
      <c r="C511" s="38" t="s">
        <v>1514</v>
      </c>
      <c r="D511" s="26" t="s">
        <v>1515</v>
      </c>
      <c r="E511" s="26" t="s">
        <v>1516</v>
      </c>
    </row>
    <row r="512">
      <c r="A512" s="26">
        <v>520.0</v>
      </c>
      <c r="B512" s="39">
        <v>45324.0</v>
      </c>
      <c r="C512" s="38" t="s">
        <v>1517</v>
      </c>
      <c r="D512" s="26" t="s">
        <v>1518</v>
      </c>
      <c r="E512" s="26" t="s">
        <v>1519</v>
      </c>
    </row>
    <row r="513">
      <c r="A513" s="26">
        <v>521.0</v>
      </c>
      <c r="B513" s="39">
        <v>45324.0</v>
      </c>
      <c r="C513" s="38" t="s">
        <v>1520</v>
      </c>
      <c r="D513" s="26" t="s">
        <v>1521</v>
      </c>
      <c r="E513" s="26" t="s">
        <v>1522</v>
      </c>
    </row>
    <row r="514">
      <c r="A514" s="26">
        <v>522.0</v>
      </c>
      <c r="B514" s="39">
        <v>45328.0</v>
      </c>
      <c r="C514" s="38" t="s">
        <v>1523</v>
      </c>
      <c r="D514" s="26" t="s">
        <v>1524</v>
      </c>
      <c r="E514" s="26" t="s">
        <v>1525</v>
      </c>
    </row>
    <row r="515">
      <c r="A515" s="26">
        <v>523.0</v>
      </c>
      <c r="B515" s="39">
        <v>45329.0</v>
      </c>
      <c r="C515" s="38" t="s">
        <v>1526</v>
      </c>
      <c r="D515" s="26" t="s">
        <v>1527</v>
      </c>
      <c r="E515" s="26" t="s">
        <v>1528</v>
      </c>
    </row>
    <row r="516">
      <c r="A516" s="26">
        <v>524.0</v>
      </c>
      <c r="B516" s="39">
        <v>45329.0</v>
      </c>
      <c r="C516" s="38" t="s">
        <v>1529</v>
      </c>
      <c r="D516" s="26" t="s">
        <v>1530</v>
      </c>
      <c r="E516" s="26" t="s">
        <v>1531</v>
      </c>
    </row>
    <row r="517">
      <c r="A517" s="26">
        <v>525.0</v>
      </c>
      <c r="B517" s="39">
        <v>45330.0</v>
      </c>
      <c r="C517" s="38" t="s">
        <v>1532</v>
      </c>
      <c r="D517" s="26" t="s">
        <v>1533</v>
      </c>
      <c r="E517" s="26" t="s">
        <v>1534</v>
      </c>
    </row>
    <row r="518">
      <c r="A518" s="26">
        <v>526.0</v>
      </c>
      <c r="B518" s="39">
        <v>45330.0</v>
      </c>
      <c r="C518" s="38" t="s">
        <v>1535</v>
      </c>
      <c r="D518" s="26" t="s">
        <v>1536</v>
      </c>
      <c r="E518" s="26" t="s">
        <v>1537</v>
      </c>
    </row>
    <row r="519">
      <c r="A519" s="26">
        <v>527.0</v>
      </c>
      <c r="B519" s="39">
        <v>45331.0</v>
      </c>
      <c r="C519" s="38" t="s">
        <v>1538</v>
      </c>
      <c r="D519" s="26" t="s">
        <v>1539</v>
      </c>
      <c r="E519" s="26" t="s">
        <v>1540</v>
      </c>
    </row>
    <row r="520">
      <c r="A520" s="26">
        <v>528.0</v>
      </c>
      <c r="B520" s="39">
        <v>45332.0</v>
      </c>
      <c r="C520" s="38" t="s">
        <v>1541</v>
      </c>
      <c r="D520" s="26" t="s">
        <v>1542</v>
      </c>
      <c r="E520" s="26" t="s">
        <v>1543</v>
      </c>
    </row>
    <row r="521">
      <c r="A521" s="26">
        <v>529.0</v>
      </c>
      <c r="B521" s="39">
        <v>45335.0</v>
      </c>
      <c r="C521" s="38" t="s">
        <v>1544</v>
      </c>
      <c r="D521" s="26" t="s">
        <v>1545</v>
      </c>
      <c r="E521" s="26" t="s">
        <v>1546</v>
      </c>
    </row>
    <row r="522">
      <c r="A522" s="26">
        <v>530.0</v>
      </c>
      <c r="B522" s="39">
        <v>45335.0</v>
      </c>
      <c r="C522" s="38" t="s">
        <v>1547</v>
      </c>
      <c r="D522" s="26" t="s">
        <v>1548</v>
      </c>
      <c r="E522" s="26" t="s">
        <v>1549</v>
      </c>
    </row>
    <row r="523">
      <c r="A523" s="26">
        <v>531.0</v>
      </c>
      <c r="B523" s="39">
        <v>45340.0</v>
      </c>
      <c r="C523" s="38" t="s">
        <v>1550</v>
      </c>
      <c r="D523" s="26" t="s">
        <v>1551</v>
      </c>
      <c r="E523" s="26" t="s">
        <v>1552</v>
      </c>
    </row>
    <row r="524">
      <c r="A524" s="26">
        <v>532.0</v>
      </c>
      <c r="B524" s="39">
        <v>45340.0</v>
      </c>
      <c r="C524" s="38" t="s">
        <v>1553</v>
      </c>
      <c r="D524" s="26" t="s">
        <v>1554</v>
      </c>
      <c r="E524" s="26" t="s">
        <v>1555</v>
      </c>
    </row>
    <row r="525">
      <c r="A525" s="26">
        <v>533.0</v>
      </c>
      <c r="B525" s="39">
        <v>45342.0</v>
      </c>
      <c r="C525" s="38" t="s">
        <v>1556</v>
      </c>
      <c r="D525" s="26" t="s">
        <v>1557</v>
      </c>
      <c r="E525" s="26" t="s">
        <v>1558</v>
      </c>
    </row>
    <row r="526">
      <c r="A526" s="26">
        <v>534.0</v>
      </c>
      <c r="B526" s="39">
        <v>45346.0</v>
      </c>
      <c r="C526" s="38" t="s">
        <v>1559</v>
      </c>
      <c r="D526" s="26" t="s">
        <v>1560</v>
      </c>
      <c r="E526" s="26" t="s">
        <v>1561</v>
      </c>
    </row>
    <row r="527">
      <c r="A527" s="26">
        <v>535.0</v>
      </c>
      <c r="B527" s="39">
        <v>45348.0</v>
      </c>
      <c r="C527" s="38" t="s">
        <v>1562</v>
      </c>
      <c r="D527" s="26" t="s">
        <v>1563</v>
      </c>
      <c r="E527" s="26" t="s">
        <v>1564</v>
      </c>
    </row>
    <row r="528">
      <c r="A528" s="26">
        <v>536.0</v>
      </c>
      <c r="B528" s="39">
        <v>45348.0</v>
      </c>
      <c r="C528" s="38" t="s">
        <v>1565</v>
      </c>
      <c r="D528" s="26" t="s">
        <v>1566</v>
      </c>
      <c r="E528" s="26" t="s">
        <v>1567</v>
      </c>
    </row>
    <row r="529">
      <c r="A529" s="26">
        <v>537.0</v>
      </c>
      <c r="B529" s="39">
        <v>45350.0</v>
      </c>
      <c r="C529" s="38" t="s">
        <v>1568</v>
      </c>
      <c r="D529" s="26" t="s">
        <v>1569</v>
      </c>
      <c r="E529" s="26" t="s">
        <v>1570</v>
      </c>
    </row>
    <row r="530">
      <c r="A530" s="26">
        <v>538.0</v>
      </c>
      <c r="B530" s="39">
        <v>45351.0</v>
      </c>
      <c r="C530" s="38" t="s">
        <v>1571</v>
      </c>
      <c r="D530" s="26" t="s">
        <v>1572</v>
      </c>
      <c r="E530" s="26" t="s">
        <v>1573</v>
      </c>
    </row>
    <row r="531">
      <c r="A531" s="26">
        <v>539.0</v>
      </c>
      <c r="B531" s="39">
        <v>45351.0</v>
      </c>
      <c r="C531" s="38" t="s">
        <v>1574</v>
      </c>
      <c r="D531" s="26" t="s">
        <v>1575</v>
      </c>
      <c r="E531" s="26" t="s">
        <v>1576</v>
      </c>
    </row>
    <row r="532">
      <c r="A532" s="26">
        <v>540.0</v>
      </c>
      <c r="B532" s="39">
        <v>45353.0</v>
      </c>
      <c r="C532" s="38" t="s">
        <v>1577</v>
      </c>
      <c r="D532" s="26" t="s">
        <v>1578</v>
      </c>
      <c r="E532" s="26" t="s">
        <v>1579</v>
      </c>
    </row>
    <row r="533">
      <c r="A533" s="26">
        <v>541.0</v>
      </c>
      <c r="B533" s="39">
        <v>45355.0</v>
      </c>
      <c r="C533" s="38" t="s">
        <v>1580</v>
      </c>
      <c r="D533" s="26" t="s">
        <v>1581</v>
      </c>
      <c r="E533" s="26" t="s">
        <v>1582</v>
      </c>
    </row>
    <row r="534">
      <c r="A534" s="26">
        <v>542.0</v>
      </c>
      <c r="B534" s="39">
        <v>45356.0</v>
      </c>
      <c r="C534" s="38" t="s">
        <v>1583</v>
      </c>
      <c r="D534" s="26" t="s">
        <v>1584</v>
      </c>
      <c r="E534" s="26" t="s">
        <v>1585</v>
      </c>
    </row>
    <row r="535">
      <c r="A535" s="26">
        <v>543.0</v>
      </c>
      <c r="B535" s="39">
        <v>45357.0</v>
      </c>
      <c r="C535" s="38" t="s">
        <v>1586</v>
      </c>
      <c r="D535" s="26" t="s">
        <v>1587</v>
      </c>
      <c r="E535" s="26" t="s">
        <v>1588</v>
      </c>
    </row>
    <row r="536">
      <c r="A536" s="26">
        <v>544.0</v>
      </c>
      <c r="B536" s="39">
        <v>45357.0</v>
      </c>
      <c r="C536" s="38" t="s">
        <v>1589</v>
      </c>
      <c r="D536" s="26" t="s">
        <v>1590</v>
      </c>
      <c r="E536" s="26" t="s">
        <v>1591</v>
      </c>
    </row>
    <row r="537">
      <c r="A537" s="26">
        <v>545.0</v>
      </c>
      <c r="B537" s="39">
        <v>45359.0</v>
      </c>
      <c r="C537" s="38" t="s">
        <v>1592</v>
      </c>
      <c r="D537" s="26" t="s">
        <v>1593</v>
      </c>
      <c r="E537" s="26" t="s">
        <v>1594</v>
      </c>
    </row>
    <row r="538">
      <c r="A538" s="26">
        <v>546.0</v>
      </c>
      <c r="B538" s="39">
        <v>45359.0</v>
      </c>
      <c r="C538" s="38" t="s">
        <v>1595</v>
      </c>
      <c r="D538" s="26" t="s">
        <v>1596</v>
      </c>
      <c r="E538" s="26" t="s">
        <v>1597</v>
      </c>
    </row>
    <row r="539">
      <c r="A539" s="26">
        <v>547.0</v>
      </c>
      <c r="B539" s="39">
        <v>45362.0</v>
      </c>
      <c r="C539" s="38" t="s">
        <v>1598</v>
      </c>
      <c r="D539" s="26" t="s">
        <v>1599</v>
      </c>
      <c r="E539" s="26" t="s">
        <v>1477</v>
      </c>
    </row>
    <row r="540">
      <c r="A540" s="26">
        <v>548.0</v>
      </c>
      <c r="B540" s="39">
        <v>45363.0</v>
      </c>
      <c r="C540" s="38" t="s">
        <v>1600</v>
      </c>
      <c r="D540" s="26" t="s">
        <v>1601</v>
      </c>
      <c r="E540" s="26" t="s">
        <v>1602</v>
      </c>
    </row>
    <row r="541">
      <c r="A541" s="26">
        <v>549.0</v>
      </c>
      <c r="B541" s="39">
        <v>45364.0</v>
      </c>
      <c r="C541" s="38" t="s">
        <v>1603</v>
      </c>
      <c r="D541" s="26" t="s">
        <v>1604</v>
      </c>
      <c r="E541" s="26" t="s">
        <v>1605</v>
      </c>
    </row>
    <row r="542">
      <c r="A542" s="26">
        <v>550.0</v>
      </c>
      <c r="B542" s="39">
        <v>45365.0</v>
      </c>
      <c r="C542" s="38" t="s">
        <v>1606</v>
      </c>
      <c r="D542" s="26" t="s">
        <v>1607</v>
      </c>
      <c r="E542" s="26" t="s">
        <v>1608</v>
      </c>
    </row>
    <row r="543">
      <c r="A543" s="26">
        <v>551.0</v>
      </c>
      <c r="B543" s="39">
        <v>45365.0</v>
      </c>
      <c r="C543" s="38" t="s">
        <v>1609</v>
      </c>
      <c r="D543" s="26" t="s">
        <v>1610</v>
      </c>
      <c r="E543" s="26" t="s">
        <v>1611</v>
      </c>
    </row>
    <row r="544">
      <c r="A544" s="26">
        <v>552.0</v>
      </c>
      <c r="B544" s="39">
        <v>45368.0</v>
      </c>
      <c r="C544" s="38" t="s">
        <v>1612</v>
      </c>
      <c r="D544" s="26" t="s">
        <v>1613</v>
      </c>
      <c r="E544" s="26" t="s">
        <v>1614</v>
      </c>
    </row>
    <row r="545">
      <c r="A545" s="26">
        <v>553.0</v>
      </c>
      <c r="B545" s="39">
        <v>45368.0</v>
      </c>
      <c r="C545" s="38" t="s">
        <v>1615</v>
      </c>
      <c r="D545" s="26" t="s">
        <v>1616</v>
      </c>
      <c r="E545" s="26" t="s">
        <v>1617</v>
      </c>
    </row>
    <row r="546">
      <c r="A546" s="26">
        <v>554.0</v>
      </c>
      <c r="B546" s="39">
        <v>45368.0</v>
      </c>
      <c r="C546" s="38" t="s">
        <v>1618</v>
      </c>
      <c r="D546" s="26" t="s">
        <v>1619</v>
      </c>
      <c r="E546" s="26" t="s">
        <v>1620</v>
      </c>
    </row>
    <row r="547">
      <c r="A547" s="26">
        <v>555.0</v>
      </c>
      <c r="B547" s="39">
        <v>45369.0</v>
      </c>
      <c r="C547" s="38" t="s">
        <v>1621</v>
      </c>
      <c r="D547" s="26" t="s">
        <v>1622</v>
      </c>
      <c r="E547" s="26" t="s">
        <v>1623</v>
      </c>
    </row>
    <row r="548">
      <c r="A548" s="26">
        <v>556.0</v>
      </c>
      <c r="B548" s="39">
        <v>45369.0</v>
      </c>
      <c r="C548" s="38" t="s">
        <v>1624</v>
      </c>
      <c r="D548" s="26" t="s">
        <v>1625</v>
      </c>
      <c r="E548" s="26" t="s">
        <v>1626</v>
      </c>
    </row>
    <row r="549">
      <c r="A549" s="26">
        <v>557.0</v>
      </c>
      <c r="B549" s="39">
        <v>45369.0</v>
      </c>
      <c r="C549" s="38" t="s">
        <v>1627</v>
      </c>
      <c r="D549" s="26" t="s">
        <v>1628</v>
      </c>
      <c r="E549" s="26" t="s">
        <v>1629</v>
      </c>
    </row>
    <row r="550">
      <c r="A550" s="26">
        <v>558.0</v>
      </c>
      <c r="B550" s="39">
        <v>45369.0</v>
      </c>
      <c r="C550" s="38" t="s">
        <v>1630</v>
      </c>
      <c r="D550" s="26" t="s">
        <v>1631</v>
      </c>
      <c r="E550" s="26" t="s">
        <v>1632</v>
      </c>
    </row>
    <row r="551">
      <c r="A551" s="26">
        <v>559.0</v>
      </c>
      <c r="B551" s="39">
        <v>45370.0</v>
      </c>
      <c r="C551" s="38" t="s">
        <v>1633</v>
      </c>
      <c r="D551" s="26" t="s">
        <v>1634</v>
      </c>
      <c r="E551" s="26" t="s">
        <v>1635</v>
      </c>
    </row>
    <row r="552">
      <c r="A552" s="26">
        <v>560.0</v>
      </c>
      <c r="B552" s="39">
        <v>45371.0</v>
      </c>
      <c r="C552" s="38" t="s">
        <v>1636</v>
      </c>
      <c r="D552" s="26" t="s">
        <v>1637</v>
      </c>
      <c r="E552" s="26" t="s">
        <v>1638</v>
      </c>
    </row>
    <row r="553">
      <c r="A553" s="26">
        <v>561.0</v>
      </c>
      <c r="B553" s="39">
        <v>45371.0</v>
      </c>
      <c r="C553" s="38" t="s">
        <v>1639</v>
      </c>
      <c r="D553" s="26" t="s">
        <v>1640</v>
      </c>
      <c r="E553" s="26" t="s">
        <v>1641</v>
      </c>
    </row>
    <row r="554">
      <c r="A554" s="26">
        <v>562.0</v>
      </c>
      <c r="B554" s="39">
        <v>45372.0</v>
      </c>
      <c r="C554" s="38" t="s">
        <v>1642</v>
      </c>
      <c r="D554" s="26" t="s">
        <v>1643</v>
      </c>
      <c r="E554" s="26" t="s">
        <v>1644</v>
      </c>
    </row>
    <row r="555">
      <c r="A555" s="26">
        <v>563.0</v>
      </c>
      <c r="B555" s="39">
        <v>45372.0</v>
      </c>
      <c r="C555" s="38" t="s">
        <v>1645</v>
      </c>
      <c r="D555" s="26" t="s">
        <v>1646</v>
      </c>
      <c r="E555" s="26" t="s">
        <v>1647</v>
      </c>
    </row>
    <row r="556">
      <c r="A556" s="26">
        <v>564.0</v>
      </c>
      <c r="B556" s="39">
        <v>45373.0</v>
      </c>
      <c r="C556" s="38" t="s">
        <v>1648</v>
      </c>
      <c r="D556" s="26" t="s">
        <v>1649</v>
      </c>
      <c r="E556" s="26" t="s">
        <v>1650</v>
      </c>
    </row>
    <row r="557">
      <c r="A557" s="26">
        <v>565.0</v>
      </c>
      <c r="B557" s="39">
        <v>45374.0</v>
      </c>
      <c r="C557" s="38" t="s">
        <v>1651</v>
      </c>
      <c r="D557" s="26" t="s">
        <v>1652</v>
      </c>
      <c r="E557" s="26" t="s">
        <v>1653</v>
      </c>
    </row>
    <row r="558">
      <c r="A558" s="26">
        <v>566.0</v>
      </c>
      <c r="B558" s="39">
        <v>45376.0</v>
      </c>
      <c r="C558" s="38" t="s">
        <v>1654</v>
      </c>
      <c r="D558" s="26"/>
      <c r="E558" s="26" t="s">
        <v>1655</v>
      </c>
    </row>
    <row r="559">
      <c r="A559" s="26">
        <v>567.0</v>
      </c>
      <c r="B559" s="39">
        <v>45376.0</v>
      </c>
      <c r="C559" s="38" t="s">
        <v>1656</v>
      </c>
      <c r="D559" s="26" t="s">
        <v>1657</v>
      </c>
      <c r="E559" s="26" t="s">
        <v>1658</v>
      </c>
    </row>
    <row r="560">
      <c r="A560" s="26">
        <v>568.0</v>
      </c>
      <c r="B560" s="39">
        <v>45376.0</v>
      </c>
      <c r="C560" s="38" t="s">
        <v>1659</v>
      </c>
      <c r="D560" s="26" t="s">
        <v>1657</v>
      </c>
      <c r="E560" s="26" t="s">
        <v>1660</v>
      </c>
    </row>
    <row r="561">
      <c r="A561" s="26">
        <v>569.0</v>
      </c>
      <c r="B561" s="39">
        <v>45377.0</v>
      </c>
      <c r="C561" s="38" t="s">
        <v>1661</v>
      </c>
      <c r="D561" s="26" t="s">
        <v>1662</v>
      </c>
      <c r="E561" s="26" t="s">
        <v>1663</v>
      </c>
    </row>
    <row r="562">
      <c r="A562" s="26">
        <v>570.0</v>
      </c>
      <c r="B562" s="39">
        <v>45377.0</v>
      </c>
      <c r="C562" s="38" t="s">
        <v>1664</v>
      </c>
      <c r="D562" s="26" t="s">
        <v>1665</v>
      </c>
      <c r="E562" s="26" t="s">
        <v>1660</v>
      </c>
    </row>
    <row r="563">
      <c r="A563" s="26">
        <v>571.0</v>
      </c>
      <c r="B563" s="39">
        <v>45380.0</v>
      </c>
      <c r="C563" s="38" t="s">
        <v>1666</v>
      </c>
      <c r="D563" s="26" t="s">
        <v>1667</v>
      </c>
      <c r="E563" s="26" t="s">
        <v>1668</v>
      </c>
    </row>
    <row r="564">
      <c r="A564" s="26">
        <v>572.0</v>
      </c>
      <c r="B564" s="39">
        <v>45380.0</v>
      </c>
      <c r="C564" s="38" t="s">
        <v>1669</v>
      </c>
      <c r="D564" s="26" t="s">
        <v>1670</v>
      </c>
      <c r="E564" s="26" t="s">
        <v>1671</v>
      </c>
    </row>
    <row r="565">
      <c r="A565" s="26">
        <v>573.0</v>
      </c>
      <c r="B565" s="39">
        <v>45385.0</v>
      </c>
      <c r="C565" s="38" t="s">
        <v>1672</v>
      </c>
      <c r="D565" s="26" t="s">
        <v>1673</v>
      </c>
      <c r="E565" s="26" t="s">
        <v>1674</v>
      </c>
    </row>
    <row r="566">
      <c r="A566" s="26">
        <v>574.0</v>
      </c>
      <c r="B566" s="39">
        <v>45385.0</v>
      </c>
      <c r="C566" s="38" t="s">
        <v>1675</v>
      </c>
      <c r="D566" s="26" t="s">
        <v>1676</v>
      </c>
      <c r="E566" s="26" t="s">
        <v>1677</v>
      </c>
    </row>
    <row r="567">
      <c r="A567" s="26">
        <v>575.0</v>
      </c>
      <c r="B567" s="39">
        <v>45387.0</v>
      </c>
      <c r="C567" s="38" t="s">
        <v>1678</v>
      </c>
      <c r="D567" s="26" t="s">
        <v>1679</v>
      </c>
      <c r="E567" s="26" t="s">
        <v>1680</v>
      </c>
    </row>
    <row r="568">
      <c r="A568" s="26">
        <v>576.0</v>
      </c>
      <c r="B568" s="39">
        <v>45388.0</v>
      </c>
      <c r="C568" s="38" t="s">
        <v>1681</v>
      </c>
      <c r="D568" s="26" t="s">
        <v>1682</v>
      </c>
      <c r="E568" s="26" t="s">
        <v>1683</v>
      </c>
    </row>
    <row r="569">
      <c r="A569" s="26">
        <v>577.0</v>
      </c>
      <c r="B569" s="39">
        <v>45389.0</v>
      </c>
      <c r="C569" s="38" t="s">
        <v>1684</v>
      </c>
      <c r="D569" s="26" t="s">
        <v>1685</v>
      </c>
      <c r="E569" s="26" t="s">
        <v>1686</v>
      </c>
    </row>
    <row r="570">
      <c r="A570" s="26">
        <v>578.0</v>
      </c>
      <c r="B570" s="39">
        <v>45390.0</v>
      </c>
      <c r="C570" s="38" t="s">
        <v>1687</v>
      </c>
      <c r="D570" s="26" t="s">
        <v>1688</v>
      </c>
      <c r="E570" s="26" t="s">
        <v>1689</v>
      </c>
    </row>
    <row r="571">
      <c r="A571" s="26">
        <v>579.0</v>
      </c>
      <c r="B571" s="39">
        <v>45390.0</v>
      </c>
      <c r="C571" s="38" t="s">
        <v>1690</v>
      </c>
      <c r="D571" s="26" t="s">
        <v>1691</v>
      </c>
      <c r="E571" s="26" t="s">
        <v>1692</v>
      </c>
    </row>
    <row r="572">
      <c r="A572" s="26">
        <v>580.0</v>
      </c>
      <c r="B572" s="39">
        <v>45390.0</v>
      </c>
      <c r="C572" s="38" t="s">
        <v>1693</v>
      </c>
      <c r="D572" s="26" t="s">
        <v>1694</v>
      </c>
      <c r="E572" s="26" t="s">
        <v>1695</v>
      </c>
    </row>
    <row r="573">
      <c r="A573" s="26">
        <v>581.0</v>
      </c>
      <c r="B573" s="39">
        <v>45391.0</v>
      </c>
      <c r="C573" s="38" t="s">
        <v>1696</v>
      </c>
      <c r="D573" s="40" t="s">
        <v>1697</v>
      </c>
      <c r="E573" s="26" t="s">
        <v>1698</v>
      </c>
    </row>
    <row r="574">
      <c r="A574" s="26">
        <v>582.0</v>
      </c>
      <c r="B574" s="39">
        <v>45391.0</v>
      </c>
      <c r="C574" s="38" t="s">
        <v>1699</v>
      </c>
      <c r="D574" s="26" t="s">
        <v>1700</v>
      </c>
      <c r="E574" s="26" t="s">
        <v>1701</v>
      </c>
    </row>
    <row r="575">
      <c r="A575" s="26">
        <v>583.0</v>
      </c>
      <c r="B575" s="39">
        <v>45394.0</v>
      </c>
      <c r="C575" s="38" t="s">
        <v>1702</v>
      </c>
      <c r="D575" s="26" t="s">
        <v>1703</v>
      </c>
      <c r="E575" s="26" t="s">
        <v>1704</v>
      </c>
    </row>
    <row r="576">
      <c r="A576" s="26">
        <v>584.0</v>
      </c>
      <c r="B576" s="39">
        <v>45394.0</v>
      </c>
      <c r="C576" s="38" t="s">
        <v>1705</v>
      </c>
      <c r="D576" s="26" t="s">
        <v>1706</v>
      </c>
      <c r="E576" s="26" t="s">
        <v>1707</v>
      </c>
    </row>
    <row r="577">
      <c r="A577" s="26">
        <v>585.0</v>
      </c>
      <c r="B577" s="39">
        <v>45397.0</v>
      </c>
      <c r="C577" s="38" t="s">
        <v>1708</v>
      </c>
      <c r="D577" s="26" t="s">
        <v>1709</v>
      </c>
      <c r="E577" s="26" t="s">
        <v>1710</v>
      </c>
    </row>
    <row r="578">
      <c r="A578" s="26">
        <v>586.0</v>
      </c>
      <c r="B578" s="39">
        <v>45398.0</v>
      </c>
      <c r="C578" s="38" t="s">
        <v>1711</v>
      </c>
      <c r="D578" s="26" t="s">
        <v>1712</v>
      </c>
      <c r="E578" s="26" t="s">
        <v>1713</v>
      </c>
    </row>
    <row r="579">
      <c r="A579" s="26">
        <v>587.0</v>
      </c>
      <c r="B579" s="39">
        <v>45404.0</v>
      </c>
      <c r="C579" s="38" t="s">
        <v>1714</v>
      </c>
      <c r="D579" s="26" t="s">
        <v>1715</v>
      </c>
      <c r="E579" s="26" t="s">
        <v>1716</v>
      </c>
    </row>
    <row r="580">
      <c r="A580" s="26">
        <v>588.0</v>
      </c>
      <c r="B580" s="39">
        <v>45404.0</v>
      </c>
      <c r="C580" s="38" t="s">
        <v>1717</v>
      </c>
      <c r="D580" s="26" t="s">
        <v>1718</v>
      </c>
      <c r="E580" s="26" t="s">
        <v>1719</v>
      </c>
    </row>
    <row r="581">
      <c r="A581" s="26">
        <v>589.0</v>
      </c>
      <c r="B581" s="39">
        <v>45405.0</v>
      </c>
      <c r="C581" s="38" t="s">
        <v>1720</v>
      </c>
      <c r="D581" s="26" t="s">
        <v>1721</v>
      </c>
      <c r="E581" s="26" t="s">
        <v>1722</v>
      </c>
    </row>
    <row r="582">
      <c r="A582" s="26">
        <v>590.0</v>
      </c>
      <c r="B582" s="39">
        <v>45406.0</v>
      </c>
      <c r="C582" s="38" t="s">
        <v>1723</v>
      </c>
      <c r="D582" s="26" t="s">
        <v>1724</v>
      </c>
      <c r="E582" s="26" t="s">
        <v>1725</v>
      </c>
    </row>
    <row r="583">
      <c r="A583" s="26">
        <v>591.0</v>
      </c>
      <c r="B583" s="39">
        <v>45406.0</v>
      </c>
      <c r="C583" s="38" t="s">
        <v>1726</v>
      </c>
      <c r="D583" s="26" t="s">
        <v>1727</v>
      </c>
      <c r="E583" s="26" t="s">
        <v>1728</v>
      </c>
    </row>
    <row r="584">
      <c r="A584" s="26">
        <v>592.0</v>
      </c>
      <c r="B584" s="39">
        <v>45406.0</v>
      </c>
      <c r="C584" s="38" t="s">
        <v>1729</v>
      </c>
      <c r="D584" s="26" t="s">
        <v>1730</v>
      </c>
      <c r="E584" s="26" t="s">
        <v>1731</v>
      </c>
    </row>
    <row r="585">
      <c r="A585" s="26">
        <v>593.0</v>
      </c>
      <c r="B585" s="39">
        <v>45406.0</v>
      </c>
      <c r="C585" s="38" t="s">
        <v>1732</v>
      </c>
      <c r="D585" s="26" t="s">
        <v>1733</v>
      </c>
      <c r="E585" s="26" t="s">
        <v>1734</v>
      </c>
    </row>
    <row r="586">
      <c r="A586" s="26">
        <v>594.0</v>
      </c>
      <c r="B586" s="39">
        <v>45407.0</v>
      </c>
      <c r="C586" s="38" t="s">
        <v>1735</v>
      </c>
      <c r="D586" s="26" t="s">
        <v>1736</v>
      </c>
      <c r="E586" s="26" t="s">
        <v>1737</v>
      </c>
    </row>
    <row r="587">
      <c r="A587" s="26">
        <v>595.0</v>
      </c>
      <c r="B587" s="39">
        <v>45408.0</v>
      </c>
      <c r="C587" s="38" t="s">
        <v>1655</v>
      </c>
      <c r="D587" s="26" t="s">
        <v>1738</v>
      </c>
      <c r="E587" s="26"/>
    </row>
    <row r="588">
      <c r="A588" s="26">
        <v>596.0</v>
      </c>
      <c r="B588" s="39">
        <v>45407.0</v>
      </c>
      <c r="C588" s="38" t="s">
        <v>1739</v>
      </c>
      <c r="D588" s="26" t="s">
        <v>1740</v>
      </c>
      <c r="E588" s="26" t="s">
        <v>1741</v>
      </c>
    </row>
    <row r="589">
      <c r="A589" s="26">
        <v>597.0</v>
      </c>
      <c r="B589" s="39">
        <v>45413.0</v>
      </c>
      <c r="C589" s="38" t="s">
        <v>1742</v>
      </c>
      <c r="D589" s="26" t="s">
        <v>1743</v>
      </c>
      <c r="E589" s="26" t="s">
        <v>1744</v>
      </c>
    </row>
    <row r="590">
      <c r="A590" s="26">
        <v>598.0</v>
      </c>
      <c r="B590" s="39">
        <v>45414.0</v>
      </c>
      <c r="C590" s="38" t="s">
        <v>1745</v>
      </c>
      <c r="D590" s="26" t="s">
        <v>1746</v>
      </c>
      <c r="E590" s="26" t="s">
        <v>1747</v>
      </c>
    </row>
    <row r="591">
      <c r="A591" s="26">
        <v>599.0</v>
      </c>
      <c r="B591" s="39">
        <v>45416.0</v>
      </c>
      <c r="C591" s="38" t="s">
        <v>1748</v>
      </c>
      <c r="D591" s="26" t="s">
        <v>1749</v>
      </c>
      <c r="E591" s="26" t="s">
        <v>1750</v>
      </c>
    </row>
    <row r="592">
      <c r="A592" s="26">
        <v>600.0</v>
      </c>
      <c r="B592" s="39">
        <v>45418.0</v>
      </c>
      <c r="C592" s="38" t="s">
        <v>1751</v>
      </c>
      <c r="D592" s="26" t="s">
        <v>1752</v>
      </c>
      <c r="E592" s="26" t="s">
        <v>1753</v>
      </c>
    </row>
    <row r="593">
      <c r="A593" s="26">
        <v>601.0</v>
      </c>
      <c r="B593" s="39">
        <v>45420.0</v>
      </c>
      <c r="C593" s="38" t="s">
        <v>1754</v>
      </c>
      <c r="D593" s="26" t="s">
        <v>1755</v>
      </c>
      <c r="E593" s="26" t="s">
        <v>1753</v>
      </c>
    </row>
    <row r="594">
      <c r="A594" s="26">
        <v>602.0</v>
      </c>
      <c r="B594" s="39">
        <v>45420.0</v>
      </c>
      <c r="C594" s="38" t="s">
        <v>1756</v>
      </c>
      <c r="D594" s="26" t="s">
        <v>1757</v>
      </c>
      <c r="E594" s="26" t="s">
        <v>1758</v>
      </c>
    </row>
    <row r="595">
      <c r="A595" s="26">
        <v>603.0</v>
      </c>
      <c r="B595" s="39">
        <v>45421.0</v>
      </c>
      <c r="C595" s="38" t="s">
        <v>1759</v>
      </c>
      <c r="D595" s="26" t="s">
        <v>1760</v>
      </c>
      <c r="E595" s="26" t="s">
        <v>1761</v>
      </c>
    </row>
    <row r="596">
      <c r="A596" s="26">
        <v>604.0</v>
      </c>
      <c r="B596" s="39">
        <v>45422.0</v>
      </c>
      <c r="C596" s="38" t="s">
        <v>1762</v>
      </c>
      <c r="D596" s="26" t="s">
        <v>1763</v>
      </c>
      <c r="E596" s="26" t="s">
        <v>1764</v>
      </c>
    </row>
    <row r="597">
      <c r="A597" s="26">
        <v>605.0</v>
      </c>
      <c r="B597" s="39">
        <v>45422.0</v>
      </c>
      <c r="C597" s="38" t="s">
        <v>1765</v>
      </c>
      <c r="D597" s="26" t="s">
        <v>1766</v>
      </c>
      <c r="E597" s="26" t="s">
        <v>1767</v>
      </c>
    </row>
    <row r="598">
      <c r="A598" s="26">
        <v>606.0</v>
      </c>
      <c r="B598" s="39">
        <v>45425.0</v>
      </c>
      <c r="C598" s="38" t="s">
        <v>1768</v>
      </c>
      <c r="D598" s="26" t="s">
        <v>1736</v>
      </c>
      <c r="E598" s="26" t="s">
        <v>1769</v>
      </c>
    </row>
    <row r="599">
      <c r="A599" s="26">
        <v>607.0</v>
      </c>
      <c r="B599" s="39">
        <v>45425.0</v>
      </c>
      <c r="C599" s="38" t="s">
        <v>1770</v>
      </c>
      <c r="D599" s="26" t="s">
        <v>1771</v>
      </c>
      <c r="E599" s="26" t="s">
        <v>1772</v>
      </c>
    </row>
    <row r="600">
      <c r="A600" s="26">
        <v>608.0</v>
      </c>
      <c r="B600" s="39">
        <v>45426.0</v>
      </c>
      <c r="C600" s="38" t="s">
        <v>1773</v>
      </c>
      <c r="D600" s="26" t="s">
        <v>1774</v>
      </c>
      <c r="E600" s="26" t="s">
        <v>1775</v>
      </c>
    </row>
    <row r="601">
      <c r="A601" s="26">
        <v>609.0</v>
      </c>
      <c r="B601" s="39">
        <v>45433.0</v>
      </c>
      <c r="C601" s="38" t="s">
        <v>1776</v>
      </c>
      <c r="D601" s="26" t="s">
        <v>1777</v>
      </c>
      <c r="E601" s="26" t="s">
        <v>1778</v>
      </c>
    </row>
    <row r="602">
      <c r="A602" s="26">
        <v>610.0</v>
      </c>
      <c r="B602" s="39">
        <v>45435.0</v>
      </c>
      <c r="C602" s="38" t="s">
        <v>1779</v>
      </c>
      <c r="D602" s="26" t="s">
        <v>1780</v>
      </c>
      <c r="E602" s="26" t="s">
        <v>1781</v>
      </c>
    </row>
    <row r="603">
      <c r="A603" s="26">
        <v>611.0</v>
      </c>
      <c r="B603" s="39">
        <v>45435.0</v>
      </c>
      <c r="C603" s="38" t="s">
        <v>1782</v>
      </c>
      <c r="D603" s="26" t="s">
        <v>1783</v>
      </c>
      <c r="E603" s="26" t="s">
        <v>1784</v>
      </c>
    </row>
    <row r="604">
      <c r="A604" s="26">
        <v>612.0</v>
      </c>
      <c r="B604" s="39">
        <v>45442.0</v>
      </c>
      <c r="C604" s="38" t="s">
        <v>1785</v>
      </c>
      <c r="D604" s="26" t="s">
        <v>1786</v>
      </c>
      <c r="E604" s="26" t="s">
        <v>1787</v>
      </c>
    </row>
    <row r="605">
      <c r="A605" s="26">
        <v>613.0</v>
      </c>
      <c r="B605" s="39">
        <v>45443.0</v>
      </c>
      <c r="C605" s="38" t="s">
        <v>1788</v>
      </c>
      <c r="D605" s="26" t="s">
        <v>1789</v>
      </c>
      <c r="E605" s="26" t="s">
        <v>1769</v>
      </c>
    </row>
    <row r="606">
      <c r="A606" s="26">
        <v>614.0</v>
      </c>
      <c r="B606" s="39">
        <v>45445.0</v>
      </c>
      <c r="C606" s="38" t="s">
        <v>1790</v>
      </c>
      <c r="D606" s="26" t="s">
        <v>1791</v>
      </c>
      <c r="E606" s="26" t="s">
        <v>1792</v>
      </c>
    </row>
    <row r="607">
      <c r="A607" s="26">
        <v>615.0</v>
      </c>
      <c r="B607" s="39">
        <v>45445.0</v>
      </c>
      <c r="C607" s="38" t="s">
        <v>1793</v>
      </c>
      <c r="D607" s="26" t="s">
        <v>1794</v>
      </c>
      <c r="E607" s="26" t="s">
        <v>1795</v>
      </c>
    </row>
    <row r="608">
      <c r="A608" s="26">
        <v>616.0</v>
      </c>
      <c r="B608" s="39">
        <v>45447.0</v>
      </c>
      <c r="C608" s="38" t="s">
        <v>1796</v>
      </c>
      <c r="D608" s="26" t="s">
        <v>1797</v>
      </c>
      <c r="E608" s="26" t="s">
        <v>1798</v>
      </c>
    </row>
    <row r="609">
      <c r="A609" s="26">
        <v>617.0</v>
      </c>
      <c r="B609" s="39">
        <v>45447.0</v>
      </c>
      <c r="C609" s="38" t="s">
        <v>1799</v>
      </c>
      <c r="D609" s="26" t="s">
        <v>1800</v>
      </c>
      <c r="E609" s="26" t="s">
        <v>1801</v>
      </c>
    </row>
    <row r="610">
      <c r="A610" s="26">
        <v>618.0</v>
      </c>
      <c r="B610" s="39">
        <v>45449.0</v>
      </c>
      <c r="C610" s="38" t="s">
        <v>1802</v>
      </c>
      <c r="D610" s="26" t="s">
        <v>1803</v>
      </c>
      <c r="E610" s="26" t="s">
        <v>1804</v>
      </c>
    </row>
    <row r="611">
      <c r="A611" s="26">
        <v>619.0</v>
      </c>
      <c r="B611" s="39">
        <v>45450.0</v>
      </c>
      <c r="C611" s="38" t="s">
        <v>1805</v>
      </c>
      <c r="D611" s="26" t="s">
        <v>1806</v>
      </c>
      <c r="E611" s="26" t="s">
        <v>1807</v>
      </c>
    </row>
    <row r="612">
      <c r="A612" s="26">
        <v>620.0</v>
      </c>
      <c r="B612" s="39">
        <v>45452.0</v>
      </c>
      <c r="C612" s="38" t="s">
        <v>1808</v>
      </c>
      <c r="D612" s="26" t="s">
        <v>1809</v>
      </c>
      <c r="E612" s="26" t="s">
        <v>1810</v>
      </c>
    </row>
    <row r="613">
      <c r="A613" s="26">
        <v>621.0</v>
      </c>
      <c r="B613" s="39">
        <v>45454.0</v>
      </c>
      <c r="C613" s="38" t="s">
        <v>1811</v>
      </c>
      <c r="D613" s="26" t="s">
        <v>1812</v>
      </c>
      <c r="E613" s="26" t="s">
        <v>1813</v>
      </c>
    </row>
    <row r="614">
      <c r="A614" s="26">
        <v>622.0</v>
      </c>
      <c r="B614" s="39">
        <v>45454.0</v>
      </c>
      <c r="C614" s="38" t="s">
        <v>1814</v>
      </c>
      <c r="D614" s="26" t="s">
        <v>1815</v>
      </c>
      <c r="E614" s="26" t="s">
        <v>1816</v>
      </c>
    </row>
    <row r="615">
      <c r="A615" s="26">
        <v>623.0</v>
      </c>
      <c r="B615" s="39">
        <v>45455.0</v>
      </c>
      <c r="C615" s="38" t="s">
        <v>1817</v>
      </c>
      <c r="D615" s="26" t="s">
        <v>1818</v>
      </c>
      <c r="E615" s="26" t="s">
        <v>1819</v>
      </c>
    </row>
    <row r="616">
      <c r="A616" s="26">
        <v>624.0</v>
      </c>
      <c r="B616" s="39">
        <v>45457.0</v>
      </c>
      <c r="C616" s="38" t="s">
        <v>1820</v>
      </c>
      <c r="D616" s="26" t="s">
        <v>1821</v>
      </c>
      <c r="E616" s="26" t="s">
        <v>1822</v>
      </c>
    </row>
    <row r="617">
      <c r="A617" s="26">
        <v>625.0</v>
      </c>
      <c r="B617" s="39">
        <v>45457.0</v>
      </c>
      <c r="C617" s="38" t="s">
        <v>1823</v>
      </c>
      <c r="D617" s="26" t="s">
        <v>1824</v>
      </c>
      <c r="E617" s="26" t="s">
        <v>1825</v>
      </c>
    </row>
    <row r="618">
      <c r="A618" s="26">
        <v>626.0</v>
      </c>
      <c r="B618" s="39">
        <v>45461.0</v>
      </c>
      <c r="C618" s="38" t="s">
        <v>1826</v>
      </c>
      <c r="D618" s="26" t="s">
        <v>1827</v>
      </c>
      <c r="E618" s="26" t="s">
        <v>1828</v>
      </c>
    </row>
    <row r="619">
      <c r="A619" s="26">
        <v>627.0</v>
      </c>
      <c r="B619" s="39">
        <v>45463.0</v>
      </c>
      <c r="C619" s="38" t="s">
        <v>1829</v>
      </c>
      <c r="D619" s="26" t="s">
        <v>1830</v>
      </c>
      <c r="E619" s="26" t="s">
        <v>1831</v>
      </c>
    </row>
    <row r="620">
      <c r="A620" s="26">
        <v>628.0</v>
      </c>
      <c r="B620" s="39">
        <v>45463.0</v>
      </c>
      <c r="C620" s="38" t="s">
        <v>1832</v>
      </c>
      <c r="D620" s="26" t="s">
        <v>1833</v>
      </c>
      <c r="E620" s="26" t="s">
        <v>1834</v>
      </c>
    </row>
    <row r="621">
      <c r="A621" s="26">
        <v>629.0</v>
      </c>
      <c r="B621" s="39">
        <v>45463.0</v>
      </c>
      <c r="C621" s="38" t="s">
        <v>1835</v>
      </c>
      <c r="D621" s="26" t="s">
        <v>1836</v>
      </c>
      <c r="E621" s="26" t="s">
        <v>1837</v>
      </c>
    </row>
    <row r="622">
      <c r="A622" s="26">
        <v>630.0</v>
      </c>
      <c r="B622" s="39">
        <v>45463.0</v>
      </c>
      <c r="C622" s="38" t="s">
        <v>1838</v>
      </c>
      <c r="D622" s="26" t="s">
        <v>1839</v>
      </c>
      <c r="E622" s="26" t="s">
        <v>1840</v>
      </c>
    </row>
    <row r="623">
      <c r="A623" s="26">
        <v>631.0</v>
      </c>
      <c r="B623" s="39">
        <v>45467.0</v>
      </c>
      <c r="C623" s="38" t="s">
        <v>1841</v>
      </c>
      <c r="D623" s="26" t="s">
        <v>1842</v>
      </c>
      <c r="E623" s="26" t="s">
        <v>1843</v>
      </c>
    </row>
    <row r="624">
      <c r="A624" s="26">
        <v>632.0</v>
      </c>
      <c r="B624" s="39">
        <v>45468.0</v>
      </c>
      <c r="C624" s="38" t="s">
        <v>1844</v>
      </c>
      <c r="D624" s="26" t="s">
        <v>1845</v>
      </c>
      <c r="E624" s="26" t="s">
        <v>1846</v>
      </c>
    </row>
    <row r="625">
      <c r="A625" s="26">
        <v>633.0</v>
      </c>
      <c r="B625" s="39">
        <v>45468.0</v>
      </c>
      <c r="C625" s="38" t="s">
        <v>1847</v>
      </c>
      <c r="D625" s="26" t="s">
        <v>1848</v>
      </c>
      <c r="E625" s="26" t="s">
        <v>1849</v>
      </c>
    </row>
    <row r="626">
      <c r="A626" s="26">
        <v>634.0</v>
      </c>
      <c r="B626" s="39">
        <v>45468.0</v>
      </c>
      <c r="C626" s="38" t="s">
        <v>1850</v>
      </c>
      <c r="D626" s="26" t="s">
        <v>1851</v>
      </c>
      <c r="E626" s="26" t="s">
        <v>1852</v>
      </c>
    </row>
    <row r="627">
      <c r="A627" s="26">
        <v>635.0</v>
      </c>
      <c r="B627" s="39">
        <v>45470.0</v>
      </c>
      <c r="C627" s="38" t="s">
        <v>1853</v>
      </c>
      <c r="D627" s="26" t="s">
        <v>1854</v>
      </c>
      <c r="E627" s="26" t="s">
        <v>1855</v>
      </c>
    </row>
    <row r="628">
      <c r="A628" s="26">
        <v>636.0</v>
      </c>
      <c r="B628" s="39">
        <v>45473.0</v>
      </c>
      <c r="C628" s="38" t="s">
        <v>1856</v>
      </c>
      <c r="D628" s="26" t="s">
        <v>1857</v>
      </c>
      <c r="E628" s="26" t="s">
        <v>1858</v>
      </c>
    </row>
    <row r="629">
      <c r="A629" s="26">
        <v>637.0</v>
      </c>
      <c r="B629" s="39">
        <v>45475.0</v>
      </c>
      <c r="C629" s="38" t="s">
        <v>1859</v>
      </c>
      <c r="D629" s="26" t="s">
        <v>1860</v>
      </c>
      <c r="E629" s="26" t="s">
        <v>1861</v>
      </c>
    </row>
    <row r="630">
      <c r="A630" s="26">
        <v>638.0</v>
      </c>
      <c r="B630" s="39">
        <v>45475.0</v>
      </c>
      <c r="C630" s="38" t="s">
        <v>1862</v>
      </c>
      <c r="D630" s="26" t="s">
        <v>1863</v>
      </c>
      <c r="E630" s="26" t="s">
        <v>1864</v>
      </c>
    </row>
    <row r="631">
      <c r="A631" s="26">
        <v>639.0</v>
      </c>
      <c r="B631" s="39">
        <v>45476.0</v>
      </c>
      <c r="C631" s="38" t="s">
        <v>1865</v>
      </c>
      <c r="D631" s="26" t="s">
        <v>1866</v>
      </c>
      <c r="E631" s="26" t="s">
        <v>1867</v>
      </c>
    </row>
    <row r="632">
      <c r="A632" s="26">
        <v>640.0</v>
      </c>
      <c r="B632" s="39">
        <v>45484.0</v>
      </c>
      <c r="C632" s="38" t="s">
        <v>1868</v>
      </c>
      <c r="D632" s="26" t="s">
        <v>1869</v>
      </c>
      <c r="E632" s="26" t="s">
        <v>1870</v>
      </c>
    </row>
    <row r="633">
      <c r="A633" s="26">
        <v>641.0</v>
      </c>
      <c r="B633" s="39">
        <v>45488.0</v>
      </c>
      <c r="C633" s="38" t="s">
        <v>1871</v>
      </c>
      <c r="D633" s="26" t="s">
        <v>1872</v>
      </c>
      <c r="E633" s="26" t="s">
        <v>1873</v>
      </c>
    </row>
    <row r="634">
      <c r="A634" s="26">
        <v>642.0</v>
      </c>
      <c r="B634" s="39">
        <v>45488.0</v>
      </c>
      <c r="C634" s="38" t="s">
        <v>1874</v>
      </c>
      <c r="D634" s="26" t="s">
        <v>1875</v>
      </c>
      <c r="E634" s="26" t="s">
        <v>1876</v>
      </c>
    </row>
    <row r="635">
      <c r="A635" s="26">
        <v>643.0</v>
      </c>
      <c r="B635" s="39">
        <v>45488.0</v>
      </c>
      <c r="C635" s="38" t="s">
        <v>1877</v>
      </c>
      <c r="D635" s="26" t="s">
        <v>1878</v>
      </c>
      <c r="E635" s="26" t="s">
        <v>1879</v>
      </c>
    </row>
    <row r="636">
      <c r="A636" s="26">
        <v>644.0</v>
      </c>
      <c r="B636" s="39">
        <v>45491.0</v>
      </c>
      <c r="C636" s="38" t="s">
        <v>1880</v>
      </c>
      <c r="D636" s="26" t="s">
        <v>1881</v>
      </c>
      <c r="E636" s="26" t="s">
        <v>1882</v>
      </c>
    </row>
    <row r="637">
      <c r="A637" s="26">
        <v>645.0</v>
      </c>
      <c r="B637" s="39">
        <v>45494.0</v>
      </c>
      <c r="C637" s="38" t="s">
        <v>1883</v>
      </c>
      <c r="D637" s="26" t="s">
        <v>1884</v>
      </c>
      <c r="E637" s="26" t="s">
        <v>1885</v>
      </c>
    </row>
    <row r="638">
      <c r="A638" s="26">
        <v>646.0</v>
      </c>
      <c r="B638" s="39">
        <v>45497.0</v>
      </c>
      <c r="C638" s="38" t="s">
        <v>1886</v>
      </c>
      <c r="D638" s="26" t="s">
        <v>1887</v>
      </c>
      <c r="E638" s="26" t="s">
        <v>1888</v>
      </c>
    </row>
    <row r="639">
      <c r="A639" s="26">
        <v>647.0</v>
      </c>
      <c r="B639" s="39">
        <v>45497.0</v>
      </c>
      <c r="C639" s="38" t="s">
        <v>1889</v>
      </c>
      <c r="D639" s="26" t="s">
        <v>1890</v>
      </c>
      <c r="E639" s="26" t="s">
        <v>1891</v>
      </c>
    </row>
    <row r="640">
      <c r="A640" s="26">
        <v>648.0</v>
      </c>
      <c r="B640" s="39">
        <v>45502.0</v>
      </c>
      <c r="C640" s="38" t="s">
        <v>1892</v>
      </c>
      <c r="D640" s="26" t="s">
        <v>1893</v>
      </c>
      <c r="E640" s="26" t="s">
        <v>1894</v>
      </c>
    </row>
    <row r="641">
      <c r="A641" s="26">
        <v>649.0</v>
      </c>
      <c r="B641" s="39">
        <v>45505.0</v>
      </c>
      <c r="C641" s="38" t="s">
        <v>1895</v>
      </c>
      <c r="D641" s="26" t="s">
        <v>1896</v>
      </c>
      <c r="E641" s="26" t="s">
        <v>1897</v>
      </c>
    </row>
    <row r="642">
      <c r="A642" s="26">
        <v>650.0</v>
      </c>
      <c r="B642" s="39">
        <v>45505.0</v>
      </c>
      <c r="C642" s="38" t="s">
        <v>1898</v>
      </c>
      <c r="D642" s="26" t="s">
        <v>1899</v>
      </c>
      <c r="E642" s="26" t="s">
        <v>1900</v>
      </c>
    </row>
    <row r="643">
      <c r="A643" s="26">
        <v>651.0</v>
      </c>
      <c r="B643" s="39">
        <v>45505.0</v>
      </c>
      <c r="C643" s="38" t="s">
        <v>1901</v>
      </c>
      <c r="D643" s="26" t="s">
        <v>1902</v>
      </c>
      <c r="E643" s="26" t="s">
        <v>1903</v>
      </c>
    </row>
    <row r="644">
      <c r="A644" s="26">
        <v>652.0</v>
      </c>
      <c r="B644" s="39">
        <v>45510.0</v>
      </c>
      <c r="C644" s="38" t="s">
        <v>1904</v>
      </c>
      <c r="D644" s="26" t="s">
        <v>1905</v>
      </c>
      <c r="E644" s="26" t="s">
        <v>1906</v>
      </c>
    </row>
    <row r="645">
      <c r="A645" s="26">
        <v>653.0</v>
      </c>
      <c r="B645" s="39">
        <v>45513.0</v>
      </c>
      <c r="C645" s="38" t="s">
        <v>1907</v>
      </c>
      <c r="D645" s="26" t="s">
        <v>1908</v>
      </c>
      <c r="E645" s="26" t="s">
        <v>1909</v>
      </c>
    </row>
    <row r="646">
      <c r="A646" s="26">
        <v>654.0</v>
      </c>
      <c r="B646" s="39">
        <v>45517.0</v>
      </c>
      <c r="C646" s="38" t="s">
        <v>1910</v>
      </c>
      <c r="D646" s="26" t="s">
        <v>1911</v>
      </c>
      <c r="E646" s="26" t="s">
        <v>1912</v>
      </c>
    </row>
    <row r="647">
      <c r="A647" s="26">
        <v>655.0</v>
      </c>
      <c r="B647" s="39">
        <v>45518.0</v>
      </c>
      <c r="C647" s="38" t="s">
        <v>1913</v>
      </c>
      <c r="D647" s="26" t="s">
        <v>1914</v>
      </c>
      <c r="E647" s="26" t="s">
        <v>1885</v>
      </c>
    </row>
    <row r="648">
      <c r="A648" s="26">
        <v>656.0</v>
      </c>
      <c r="B648" s="39">
        <v>45523.0</v>
      </c>
      <c r="C648" s="38" t="s">
        <v>1915</v>
      </c>
      <c r="D648" s="26" t="s">
        <v>1916</v>
      </c>
      <c r="E648" s="26" t="s">
        <v>1917</v>
      </c>
    </row>
    <row r="649">
      <c r="A649" s="26">
        <v>657.0</v>
      </c>
      <c r="B649" s="39">
        <v>45523.0</v>
      </c>
      <c r="C649" s="38" t="s">
        <v>1918</v>
      </c>
      <c r="D649" s="26" t="s">
        <v>1919</v>
      </c>
      <c r="E649" s="26" t="s">
        <v>1920</v>
      </c>
    </row>
    <row r="650">
      <c r="A650" s="26">
        <v>658.0</v>
      </c>
      <c r="B650" s="39">
        <v>45526.0</v>
      </c>
      <c r="C650" s="38" t="s">
        <v>1921</v>
      </c>
      <c r="D650" s="26" t="s">
        <v>1922</v>
      </c>
      <c r="E650" s="26" t="s">
        <v>1923</v>
      </c>
    </row>
    <row r="651">
      <c r="A651" s="26">
        <v>659.0</v>
      </c>
      <c r="B651" s="39">
        <v>45526.0</v>
      </c>
      <c r="C651" s="38" t="s">
        <v>1924</v>
      </c>
      <c r="D651" s="26" t="s">
        <v>1925</v>
      </c>
      <c r="E651" s="26" t="s">
        <v>1926</v>
      </c>
    </row>
    <row r="652">
      <c r="A652" s="26">
        <v>660.0</v>
      </c>
      <c r="B652" s="39">
        <v>45527.0</v>
      </c>
      <c r="C652" s="38" t="s">
        <v>1927</v>
      </c>
      <c r="D652" s="26" t="s">
        <v>1928</v>
      </c>
      <c r="E652" s="26" t="s">
        <v>1929</v>
      </c>
    </row>
    <row r="653">
      <c r="A653" s="26">
        <v>661.0</v>
      </c>
      <c r="B653" s="39">
        <v>45528.0</v>
      </c>
      <c r="C653" s="38" t="s">
        <v>1930</v>
      </c>
      <c r="D653" s="26" t="s">
        <v>1931</v>
      </c>
      <c r="E653" s="26" t="s">
        <v>1932</v>
      </c>
    </row>
    <row r="654">
      <c r="A654" s="26">
        <v>662.0</v>
      </c>
      <c r="B654" s="39">
        <v>45530.0</v>
      </c>
      <c r="C654" s="38" t="s">
        <v>1933</v>
      </c>
      <c r="D654" s="26" t="s">
        <v>1934</v>
      </c>
      <c r="E654" s="26" t="s">
        <v>1935</v>
      </c>
    </row>
    <row r="655">
      <c r="A655" s="26">
        <v>663.0</v>
      </c>
      <c r="B655" s="39">
        <v>45533.0</v>
      </c>
      <c r="C655" s="38" t="s">
        <v>1936</v>
      </c>
      <c r="D655" s="26" t="s">
        <v>1937</v>
      </c>
      <c r="E655" s="26" t="s">
        <v>1938</v>
      </c>
    </row>
    <row r="656">
      <c r="A656" s="26">
        <v>664.0</v>
      </c>
      <c r="B656" s="39">
        <v>45534.0</v>
      </c>
      <c r="C656" s="38" t="s">
        <v>1939</v>
      </c>
      <c r="D656" s="26" t="s">
        <v>1940</v>
      </c>
      <c r="E656" s="26" t="s">
        <v>1941</v>
      </c>
    </row>
    <row r="657">
      <c r="A657" s="26">
        <v>665.0</v>
      </c>
      <c r="B657" s="39">
        <v>45534.0</v>
      </c>
      <c r="C657" s="38" t="s">
        <v>1942</v>
      </c>
      <c r="D657" s="26" t="s">
        <v>1943</v>
      </c>
      <c r="E657" s="26" t="s">
        <v>1944</v>
      </c>
    </row>
    <row r="658">
      <c r="A658" s="26">
        <v>666.0</v>
      </c>
      <c r="B658" s="39">
        <v>45541.0</v>
      </c>
      <c r="C658" s="38" t="s">
        <v>1945</v>
      </c>
      <c r="D658" s="26" t="s">
        <v>1946</v>
      </c>
      <c r="E658" s="26" t="s">
        <v>1947</v>
      </c>
    </row>
    <row r="659">
      <c r="A659" s="26">
        <v>667.0</v>
      </c>
      <c r="B659" s="39">
        <v>45541.0</v>
      </c>
      <c r="C659" s="38" t="s">
        <v>1948</v>
      </c>
      <c r="D659" s="26" t="s">
        <v>1949</v>
      </c>
      <c r="E659" s="26" t="s">
        <v>1950</v>
      </c>
    </row>
    <row r="660">
      <c r="A660" s="26">
        <v>668.0</v>
      </c>
      <c r="B660" s="39">
        <v>45542.0</v>
      </c>
      <c r="C660" s="38" t="s">
        <v>1951</v>
      </c>
      <c r="D660" s="26" t="s">
        <v>1952</v>
      </c>
      <c r="E660" s="26" t="s">
        <v>1953</v>
      </c>
    </row>
    <row r="661">
      <c r="A661" s="26">
        <v>669.0</v>
      </c>
      <c r="B661" s="39">
        <v>45544.0</v>
      </c>
      <c r="C661" s="38" t="s">
        <v>1954</v>
      </c>
      <c r="D661" s="26" t="s">
        <v>1955</v>
      </c>
      <c r="E661" s="26" t="s">
        <v>1956</v>
      </c>
    </row>
    <row r="662">
      <c r="A662" s="26">
        <v>670.0</v>
      </c>
      <c r="B662" s="39">
        <v>45544.0</v>
      </c>
      <c r="C662" s="38" t="s">
        <v>1957</v>
      </c>
      <c r="D662" s="26" t="s">
        <v>1958</v>
      </c>
      <c r="E662" s="26" t="s">
        <v>1959</v>
      </c>
    </row>
    <row r="663">
      <c r="A663" s="26">
        <v>671.0</v>
      </c>
      <c r="B663" s="39">
        <v>45547.0</v>
      </c>
      <c r="C663" s="38" t="s">
        <v>1960</v>
      </c>
      <c r="D663" s="26" t="s">
        <v>1961</v>
      </c>
      <c r="E663" s="26" t="s">
        <v>1962</v>
      </c>
    </row>
    <row r="664">
      <c r="A664" s="26">
        <v>672.0</v>
      </c>
      <c r="B664" s="39">
        <v>45547.0</v>
      </c>
      <c r="C664" s="38" t="s">
        <v>1963</v>
      </c>
      <c r="D664" s="26" t="s">
        <v>1964</v>
      </c>
      <c r="E664" s="26" t="s">
        <v>1965</v>
      </c>
    </row>
    <row r="665">
      <c r="A665" s="26">
        <v>673.0</v>
      </c>
      <c r="B665" s="39">
        <v>45552.0</v>
      </c>
      <c r="C665" s="38" t="s">
        <v>1966</v>
      </c>
      <c r="D665" s="26" t="s">
        <v>1967</v>
      </c>
      <c r="E665" s="26" t="s">
        <v>1864</v>
      </c>
    </row>
    <row r="666">
      <c r="A666" s="26">
        <v>674.0</v>
      </c>
      <c r="B666" s="39">
        <v>45552.0</v>
      </c>
      <c r="C666" s="38" t="s">
        <v>1968</v>
      </c>
      <c r="D666" s="26" t="s">
        <v>1969</v>
      </c>
      <c r="E666" s="26" t="s">
        <v>1970</v>
      </c>
    </row>
    <row r="667">
      <c r="A667" s="26">
        <v>675.0</v>
      </c>
      <c r="B667" s="39">
        <v>45558.0</v>
      </c>
      <c r="C667" s="38" t="s">
        <v>1971</v>
      </c>
      <c r="D667" s="26" t="s">
        <v>1972</v>
      </c>
      <c r="E667" s="26" t="s">
        <v>1973</v>
      </c>
    </row>
    <row r="668">
      <c r="A668" s="26">
        <v>676.0</v>
      </c>
      <c r="B668" s="39">
        <v>45559.0</v>
      </c>
      <c r="C668" s="38" t="s">
        <v>1974</v>
      </c>
      <c r="D668" s="26" t="s">
        <v>1975</v>
      </c>
      <c r="E668" s="26" t="s">
        <v>1976</v>
      </c>
    </row>
    <row r="669">
      <c r="A669" s="26">
        <v>677.0</v>
      </c>
      <c r="B669" s="39">
        <v>45559.0</v>
      </c>
      <c r="C669" s="38" t="s">
        <v>1977</v>
      </c>
      <c r="D669" s="26" t="s">
        <v>1978</v>
      </c>
      <c r="E669" s="26" t="s">
        <v>1979</v>
      </c>
    </row>
    <row r="670">
      <c r="A670" s="26">
        <v>678.0</v>
      </c>
      <c r="B670" s="39">
        <v>45559.0</v>
      </c>
      <c r="C670" s="38" t="s">
        <v>1980</v>
      </c>
      <c r="D670" s="26" t="s">
        <v>1981</v>
      </c>
      <c r="E670" s="26" t="s">
        <v>1982</v>
      </c>
    </row>
    <row r="671">
      <c r="A671" s="26">
        <v>679.0</v>
      </c>
      <c r="B671" s="39">
        <v>45562.0</v>
      </c>
      <c r="C671" s="38" t="s">
        <v>1983</v>
      </c>
      <c r="D671" s="26" t="s">
        <v>1984</v>
      </c>
      <c r="E671" s="26" t="s">
        <v>1985</v>
      </c>
    </row>
    <row r="672">
      <c r="A672" s="26">
        <v>680.0</v>
      </c>
      <c r="B672" s="39">
        <v>45563.0</v>
      </c>
      <c r="C672" s="38" t="s">
        <v>1986</v>
      </c>
      <c r="D672" s="26" t="s">
        <v>1987</v>
      </c>
      <c r="E672" s="26" t="s">
        <v>1988</v>
      </c>
    </row>
    <row r="673">
      <c r="A673" s="26">
        <v>681.0</v>
      </c>
      <c r="B673" s="39">
        <v>45563.0</v>
      </c>
      <c r="C673" s="38" t="s">
        <v>1989</v>
      </c>
      <c r="D673" s="26" t="s">
        <v>1990</v>
      </c>
      <c r="E673" s="26" t="s">
        <v>1991</v>
      </c>
    </row>
    <row r="674">
      <c r="A674" s="26">
        <v>682.0</v>
      </c>
      <c r="B674" s="39">
        <v>45565.0</v>
      </c>
      <c r="C674" s="38" t="s">
        <v>1992</v>
      </c>
      <c r="D674" s="26" t="s">
        <v>1993</v>
      </c>
      <c r="E674" s="26" t="s">
        <v>1994</v>
      </c>
    </row>
    <row r="675">
      <c r="A675" s="26">
        <v>683.0</v>
      </c>
      <c r="B675" s="39">
        <v>45568.0</v>
      </c>
      <c r="C675" s="38" t="s">
        <v>1995</v>
      </c>
      <c r="D675" s="38" t="s">
        <v>1996</v>
      </c>
      <c r="E675" s="41" t="s">
        <v>1997</v>
      </c>
    </row>
    <row r="676">
      <c r="A676" s="26">
        <v>684.0</v>
      </c>
      <c r="B676" s="39">
        <v>45569.0</v>
      </c>
      <c r="C676" s="42" t="s">
        <v>1998</v>
      </c>
      <c r="D676" s="41" t="s">
        <v>1999</v>
      </c>
      <c r="E676" s="41" t="s">
        <v>2000</v>
      </c>
    </row>
    <row r="677">
      <c r="A677" s="26">
        <v>685.0</v>
      </c>
      <c r="B677" s="39">
        <v>45572.0</v>
      </c>
      <c r="C677" s="43" t="s">
        <v>2001</v>
      </c>
      <c r="D677" s="38" t="s">
        <v>2002</v>
      </c>
      <c r="E677" s="44" t="s">
        <v>2003</v>
      </c>
    </row>
    <row r="678">
      <c r="A678" s="26"/>
      <c r="B678" s="39"/>
      <c r="C678" s="38"/>
      <c r="D678" s="26"/>
      <c r="E678" s="26"/>
    </row>
    <row r="679">
      <c r="A679" s="26"/>
      <c r="B679" s="39"/>
      <c r="C679" s="38"/>
      <c r="D679" s="26"/>
      <c r="E679" s="26"/>
    </row>
    <row r="680">
      <c r="A680" s="26"/>
      <c r="B680" s="39"/>
      <c r="C680" s="38"/>
      <c r="D680" s="26"/>
      <c r="E680" s="26"/>
    </row>
    <row r="681">
      <c r="A681" s="26"/>
      <c r="B681" s="39"/>
      <c r="C681" s="38"/>
      <c r="D681" s="26"/>
      <c r="E681" s="26"/>
    </row>
    <row r="682">
      <c r="A682" s="26"/>
      <c r="B682" s="39"/>
      <c r="C682" s="38"/>
      <c r="D682" s="26"/>
      <c r="E682" s="26"/>
    </row>
  </sheetData>
  <autoFilter ref="$C$1:$C$1127"/>
  <customSheetViews>
    <customSheetView guid="{750FB152-2AF6-41C7-9CDA-FB84B5974644}" filter="1" showAutoFilter="1">
      <autoFilter ref="$G$13"/>
    </customSheetView>
  </customSheetViews>
  <printOptions gridLines="1" horizontalCentered="1"/>
  <pageMargins bottom="0.75" footer="0.0" header="0.0" left="0.7" right="0.7" top="0.75"/>
  <pageSetup fitToHeight="0" cellComments="atEnd" orientation="landscape" pageOrder="overThenDown"/>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1" max="1" width="13.0"/>
    <col customWidth="1" min="3" max="3" width="29.13"/>
    <col customWidth="1" min="4" max="4" width="30.13"/>
    <col customWidth="1" min="5" max="5" width="40.5"/>
  </cols>
  <sheetData>
    <row r="1">
      <c r="A1" s="45"/>
      <c r="B1" s="46" t="s">
        <v>2004</v>
      </c>
      <c r="C1" s="27"/>
      <c r="D1" s="47" t="s">
        <v>32</v>
      </c>
      <c r="E1" s="27"/>
    </row>
    <row r="2">
      <c r="A2" s="45"/>
      <c r="C2" s="27"/>
      <c r="D2" s="27"/>
      <c r="E2" s="27"/>
    </row>
    <row r="3">
      <c r="A3" s="45"/>
      <c r="B3" s="48" t="s">
        <v>2005</v>
      </c>
      <c r="C3" s="27"/>
      <c r="D3" s="27"/>
      <c r="E3" s="27"/>
    </row>
    <row r="4">
      <c r="A4" s="45"/>
      <c r="C4" s="27"/>
      <c r="D4" s="27"/>
      <c r="E4" s="27"/>
    </row>
    <row r="5">
      <c r="A5" s="49" t="s">
        <v>43</v>
      </c>
      <c r="B5" s="49" t="s">
        <v>44</v>
      </c>
      <c r="C5" s="49" t="s">
        <v>45</v>
      </c>
      <c r="D5" s="49" t="s">
        <v>46</v>
      </c>
      <c r="E5" s="49" t="s">
        <v>47</v>
      </c>
    </row>
    <row r="6">
      <c r="A6" s="50">
        <f>IFERROR(__xludf.DUMMYFUNCTION("filter(Full!A1:E1002, regexmatch(Full!E1:E1002, ""(?i)ddlg""))"),32.0)</f>
        <v>32</v>
      </c>
      <c r="B6" s="51">
        <f>IFERROR(__xludf.DUMMYFUNCTION("""COMPUTED_VALUE"""),44749.0)</f>
        <v>44749</v>
      </c>
      <c r="C6" s="27" t="str">
        <f>IFERROR(__xludf.DUMMYFUNCTION("""COMPUTED_VALUE"""),"Custom Script Fill: Step DDlg Story")</f>
        <v>Custom Script Fill: Step DDlg Story</v>
      </c>
      <c r="D6" s="27" t="str">
        <f>IFERROR(__xludf.DUMMYFUNCTION("""COMPUTED_VALUE"""),"A woman recounts that one time her stepfather crossed the line. ")</f>
        <v>A woman recounts that one time her stepfather crossed the line. </v>
      </c>
      <c r="E6" s="27" t="str">
        <f>IFERROR(__xludf.DUMMYFUNCTION("""COMPUTED_VALUE"""),"outercourse, ddlg, cumming on body, first female masturbation")</f>
        <v>outercourse, ddlg, cumming on body, first female masturbation</v>
      </c>
    </row>
    <row r="7">
      <c r="A7" s="52">
        <f>IFERROR(__xludf.DUMMYFUNCTION("""COMPUTED_VALUE"""),39.0)</f>
        <v>39</v>
      </c>
      <c r="B7" s="51">
        <f>IFERROR(__xludf.DUMMYFUNCTION("""COMPUTED_VALUE"""),44754.0)</f>
        <v>44754</v>
      </c>
      <c r="C7" s="27" t="str">
        <f>IFERROR(__xludf.DUMMYFUNCTION("""COMPUTED_VALUE"""),"Custom Fill: DDlg Encouragement")</f>
        <v>Custom Fill: DDlg Encouragement</v>
      </c>
      <c r="D7" s="27" t="str">
        <f>IFERROR(__xludf.DUMMYFUNCTION("""COMPUTED_VALUE"""),"An audio story where I encourage DDlg and incest sex. ")</f>
        <v>An audio story where I encourage DDlg and incest sex. </v>
      </c>
      <c r="E7" s="27" t="str">
        <f>IFERROR(__xludf.DUMMYFUNCTION("""COMPUTED_VALUE"""),"sensual, pervert encouragement, love making, breeding, incest, ddlg")</f>
        <v>sensual, pervert encouragement, love making, breeding, incest, ddlg</v>
      </c>
    </row>
    <row r="8">
      <c r="A8" s="52">
        <f>IFERROR(__xludf.DUMMYFUNCTION("""COMPUTED_VALUE"""),45.0)</f>
        <v>45</v>
      </c>
      <c r="B8" s="51">
        <f>IFERROR(__xludf.DUMMYFUNCTION("""COMPUTED_VALUE"""),44757.0)</f>
        <v>44757</v>
      </c>
      <c r="C8" s="27" t="str">
        <f>IFERROR(__xludf.DUMMYFUNCTION("""COMPUTED_VALUE"""),"Custom Fill: Daddy's Breeding Whore")</f>
        <v>Custom Fill: Daddy's Breeding Whore</v>
      </c>
      <c r="D8" s="27" t="str">
        <f>IFERROR(__xludf.DUMMYFUNCTION("""COMPUTED_VALUE"""),"A woman has been trained to be a breeding whore her whole life by her daddy and older brother. She's a teacher and mommy now and is still spreading her daddy's good word and her legs still. ")</f>
        <v>A woman has been trained to be a breeding whore her whole life by her daddy and older brother. She's a teacher and mommy now and is still spreading her daddy's good word and her legs still. </v>
      </c>
      <c r="E8" s="27" t="str">
        <f>IFERROR(__xludf.DUMMYFUNCTION("""COMPUTED_VALUE"""),"misogyny, groomed to be a breeding slut, breeding, ddlg, bro &amp; sis, daughter training, bad mommy, slut, fuck holes, teacher student, incest")</f>
        <v>misogyny, groomed to be a breeding slut, breeding, ddlg, bro &amp; sis, daughter training, bad mommy, slut, fuck holes, teacher student, incest</v>
      </c>
    </row>
    <row r="9">
      <c r="A9" s="52">
        <f>IFERROR(__xludf.DUMMYFUNCTION("""COMPUTED_VALUE"""),66.0)</f>
        <v>66</v>
      </c>
      <c r="B9" s="51">
        <f>IFERROR(__xludf.DUMMYFUNCTION("""COMPUTED_VALUE"""),44775.0)</f>
        <v>44775</v>
      </c>
      <c r="C9" s="27" t="str">
        <f>IFERROR(__xludf.DUMMYFUNCTION("""COMPUTED_VALUE"""),"Custom Fill: Daddy is Seduced")</f>
        <v>Custom Fill: Daddy is Seduced</v>
      </c>
      <c r="D9" s="27" t="str">
        <f>IFERROR(__xludf.DUMMYFUNCTION("""COMPUTED_VALUE"""),"Daddy gets seduced by his girl. ")</f>
        <v>Daddy gets seduced by his girl. </v>
      </c>
      <c r="E9" s="27" t="str">
        <f>IFERROR(__xludf.DUMMYFUNCTION("""COMPUTED_VALUE"""),"no oral, cowgirl, missionary, beg daddy to cum, and creampie, DDlg")</f>
        <v>no oral, cowgirl, missionary, beg daddy to cum, and creampie, DDlg</v>
      </c>
    </row>
    <row r="10">
      <c r="A10" s="52">
        <f>IFERROR(__xludf.DUMMYFUNCTION("""COMPUTED_VALUE"""),71.0)</f>
        <v>71</v>
      </c>
      <c r="B10" s="51">
        <f>IFERROR(__xludf.DUMMYFUNCTION("""COMPUTED_VALUE"""),44778.0)</f>
        <v>44778</v>
      </c>
      <c r="C10" s="27" t="str">
        <f>IFERROR(__xludf.DUMMYFUNCTION("""COMPUTED_VALUE"""),"Script Fill: Stepdad's Second Chance")</f>
        <v>Script Fill: Stepdad's Second Chance</v>
      </c>
      <c r="D10" s="27" t="str">
        <f>IFERROR(__xludf.DUMMYFUNCTION("""COMPUTED_VALUE"""),"She became obsessed with her stepfather after the first time she and her stepdad fooled around. They cum together again. ")</f>
        <v>She became obsessed with her stepfather after the first time she and her stepdad fooled around. They cum together again. </v>
      </c>
      <c r="E10" s="27" t="str">
        <f>IFERROR(__xludf.DUMMYFUNCTION("""COMPUTED_VALUE"""),"stepdad/stepdaughter, panty sniffing, oral, swallowing cum, masturbating in front of stepdad, DDlg")</f>
        <v>stepdad/stepdaughter, panty sniffing, oral, swallowing cum, masturbating in front of stepdad, DDlg</v>
      </c>
    </row>
    <row r="11">
      <c r="A11" s="52">
        <f>IFERROR(__xludf.DUMMYFUNCTION("""COMPUTED_VALUE"""),104.0)</f>
        <v>104</v>
      </c>
      <c r="B11" s="51">
        <f>IFERROR(__xludf.DUMMYFUNCTION("""COMPUTED_VALUE"""),44807.0)</f>
        <v>44807</v>
      </c>
      <c r="C11" s="27" t="str">
        <f>IFERROR(__xludf.DUMMYFUNCTION("""COMPUTED_VALUE"""),"Lesson From Daddy")</f>
        <v>Lesson From Daddy</v>
      </c>
      <c r="D11" s="27" t="str">
        <f>IFERROR(__xludf.DUMMYFUNCTION("""COMPUTED_VALUE""")," Just a little something special to you guys here in VIP. I've been wanting to play around with some daddy/daughter fantasies because if you know me, my ultimate soft spot is there. ")</f>
        <v> Just a little something special to you guys here in VIP. I've been wanting to play around with some daddy/daughter fantasies because if you know me, my ultimate soft spot is there. </v>
      </c>
      <c r="E11" s="27" t="str">
        <f>IFERROR(__xludf.DUMMYFUNCTION("""COMPUTED_VALUE"""),"masturbate, finger, innocence, show me how to have sex, cum inside me, L bombs, ddlg")</f>
        <v>masturbate, finger, innocence, show me how to have sex, cum inside me, L bombs, ddlg</v>
      </c>
    </row>
    <row r="12">
      <c r="A12" s="52">
        <f>IFERROR(__xludf.DUMMYFUNCTION("""COMPUTED_VALUE"""),108.0)</f>
        <v>108</v>
      </c>
      <c r="B12" s="51">
        <f>IFERROR(__xludf.DUMMYFUNCTION("""COMPUTED_VALUE"""),44811.0)</f>
        <v>44811</v>
      </c>
      <c r="C12" s="27" t="str">
        <f>IFERROR(__xludf.DUMMYFUNCTION("""COMPUTED_VALUE"""),"Custom Fill: Misogynistic Slut Goes to Therapy")</f>
        <v>Custom Fill: Misogynistic Slut Goes to Therapy</v>
      </c>
      <c r="D12" s="27" t="str">
        <f>IFERROR(__xludf.DUMMYFUNCTION("""COMPUTED_VALUE"""),"A misogynistic slut (me) is required to go to therapy. She explains how she wants to be taken, how her dad made her this way, and even begs for it at the end. ")</f>
        <v>A misogynistic slut (me) is required to go to therapy. She explains how she wants to be taken, how her dad made her this way, and even begs for it at the end. </v>
      </c>
      <c r="E12" s="27" t="str">
        <f>IFERROR(__xludf.DUMMYFUNCTION("""COMPUTED_VALUE""")," misogyny, ddlg, incest, anti-feminist, therapist/client, facial abuse, prolapsed asshole, bulimia glamorization, three fuck holes")</f>
        <v> misogyny, ddlg, incest, anti-feminist, therapist/client, facial abuse, prolapsed asshole, bulimia glamorization, three fuck holes</v>
      </c>
    </row>
    <row r="13">
      <c r="A13" s="52">
        <f>IFERROR(__xludf.DUMMYFUNCTION("""COMPUTED_VALUE"""),121.0)</f>
        <v>121</v>
      </c>
      <c r="B13" s="51">
        <f>IFERROR(__xludf.DUMMYFUNCTION("""COMPUTED_VALUE"""),44831.0)</f>
        <v>44831</v>
      </c>
      <c r="C13" s="27" t="str">
        <f>IFERROR(__xludf.DUMMYFUNCTION("""COMPUTED_VALUE"""),"Custom: Perv Family Beginnings - Whole New World")</f>
        <v>Custom: Perv Family Beginnings - Whole New World</v>
      </c>
      <c r="D13" s="27" t="str">
        <f>IFERROR(__xludf.DUMMYFUNCTION("""COMPUTED_VALUE"""),"This might be one of my favorite audios I've created. Me (single mom) and you meet on a taboo dark web site and both have the same desires. We decide to move in together and start a new life together as a happy family. ")</f>
        <v>This might be one of my favorite audios I've created. Me (single mom) and you meet on a taboo dark web site and both have the same desires. We decide to move in together and start a new life together as a happy family. </v>
      </c>
      <c r="E13" s="27" t="str">
        <f>IFERROR(__xludf.DUMMYFUNCTION("""COMPUTED_VALUE"""),"DDlg, mom/daughters, kissing sounds, moaning, training, incest, rimming, cunninlingus, creampie, L bomb")</f>
        <v>DDlg, mom/daughters, kissing sounds, moaning, training, incest, rimming, cunninlingus, creampie, L bomb</v>
      </c>
    </row>
    <row r="14">
      <c r="A14" s="52">
        <f>IFERROR(__xludf.DUMMYFUNCTION("""COMPUTED_VALUE"""),144.0)</f>
        <v>144</v>
      </c>
      <c r="B14" s="51">
        <f>IFERROR(__xludf.DUMMYFUNCTION("""COMPUTED_VALUE"""),44858.0)</f>
        <v>44858</v>
      </c>
      <c r="C14" s="27" t="str">
        <f>IFERROR(__xludf.DUMMYFUNCTION("""COMPUTED_VALUE"""),"Silent Call: Dad Daughter Incest")</f>
        <v>Silent Call: Dad Daughter Incest</v>
      </c>
      <c r="D14" s="27" t="str">
        <f>IFERROR(__xludf.DUMMYFUNCTION("""COMPUTED_VALUE"""),"Fantasy where you sit down and watch cp every evening with your daughter and make love during. ")</f>
        <v>Fantasy where you sit down and watch cp every evening with your daughter and make love during. </v>
      </c>
      <c r="E14" s="27" t="str">
        <f>IFERROR(__xludf.DUMMYFUNCTION("""COMPUTED_VALUE"""),"ddlg, oral, cowgirl, creampie ending, harem of daughters in the future, incest, sweet, sensual, consensual, pervert encouragement")</f>
        <v>ddlg, oral, cowgirl, creampie ending, harem of daughters in the future, incest, sweet, sensual, consensual, pervert encouragement</v>
      </c>
    </row>
    <row r="15">
      <c r="A15" s="52">
        <f>IFERROR(__xludf.DUMMYFUNCTION("""COMPUTED_VALUE"""),148.0)</f>
        <v>148</v>
      </c>
      <c r="B15" s="51">
        <f>IFERROR(__xludf.DUMMYFUNCTION("""COMPUTED_VALUE"""),44861.0)</f>
        <v>44861</v>
      </c>
      <c r="C15" s="27" t="str">
        <f>IFERROR(__xludf.DUMMYFUNCTION("""COMPUTED_VALUE"""),"Custom: Pervert Carwash")</f>
        <v>Custom: Pervert Carwash</v>
      </c>
      <c r="D15" s="27" t="str">
        <f>IFERROR(__xludf.DUMMYFUNCTION("""COMPUTED_VALUE"""),"Me and my cheerleading squad are raising money by holding a car wash that includes extra services for men. ")</f>
        <v>Me and my cheerleading squad are raising money by holding a car wash that includes extra services for men. </v>
      </c>
      <c r="E15" s="27" t="str">
        <f>IFERROR(__xludf.DUMMYFUNCTION("""COMPUTED_VALUE""")," girl on girl makeout, fingering, deepthroat, anal, gape mention, anal creampie, spit roasted, ddlg, girl on girl scissoring, bukkake, cum countdown, pervert encouragement")</f>
        <v> girl on girl makeout, fingering, deepthroat, anal, gape mention, anal creampie, spit roasted, ddlg, girl on girl scissoring, bukkake, cum countdown, pervert encouragement</v>
      </c>
    </row>
    <row r="16">
      <c r="A16" s="52">
        <f>IFERROR(__xludf.DUMMYFUNCTION("""COMPUTED_VALUE"""),157.0)</f>
        <v>157</v>
      </c>
      <c r="B16" s="51">
        <f>IFERROR(__xludf.DUMMYFUNCTION("""COMPUTED_VALUE"""),44874.0)</f>
        <v>44874</v>
      </c>
      <c r="C16" s="27" t="str">
        <f>IFERROR(__xludf.DUMMYFUNCTION("""COMPUTED_VALUE"""),"Custom: Little Sluts All Girls Academy")</f>
        <v>Custom: Little Sluts All Girls Academy</v>
      </c>
      <c r="D16" s="27" t="str">
        <f>IFERROR(__xludf.DUMMYFUNCTION("""COMPUTED_VALUE""")," I am head mistress Beatrix and I run a school for girls and moms to turn and brainwash them into being lifelong sluts while training their husbands/the fathers to be good cucks. ")</f>
        <v> I am head mistress Beatrix and I run a school for girls and moms to turn and brainwash them into being lifelong sluts while training their husbands/the fathers to be good cucks. </v>
      </c>
      <c r="E16" s="27" t="str">
        <f>IFERROR(__xludf.DUMMYFUNCTION("""COMPUTED_VALUE"""),"BBC sluts, cuckold, 3 hole sluts, gangbangs, deepthroat, misogyny, breeding whores, light cuck humiliation, raceplay, DDlg")</f>
        <v>BBC sluts, cuckold, 3 hole sluts, gangbangs, deepthroat, misogyny, breeding whores, light cuck humiliation, raceplay, DDlg</v>
      </c>
    </row>
    <row r="17">
      <c r="A17" s="52">
        <f>IFERROR(__xludf.DUMMYFUNCTION("""COMPUTED_VALUE"""),162.0)</f>
        <v>162</v>
      </c>
      <c r="B17" s="51">
        <f>IFERROR(__xludf.DUMMYFUNCTION("""COMPUTED_VALUE"""),44880.0)</f>
        <v>44880</v>
      </c>
      <c r="C17" s="27" t="str">
        <f>IFERROR(__xludf.DUMMYFUNCTION("""COMPUTED_VALUE"""),"Custom: Family Road Trip")</f>
        <v>Custom: Family Road Trip</v>
      </c>
      <c r="D17" s="27" t="str">
        <f>IFERROR(__xludf.DUMMYFUNCTION("""COMPUTED_VALUE"""),"I'm your wife and we're on a road trip with our daughter. I get a little frisky with you while you're driving and our daughter is napping on your lap. She wakes up and mommy teaches her how to please daddy. ")</f>
        <v>I'm your wife and we're on a road trip with our daughter. I get a little frisky with you while you're driving and our daughter is napping on your lap. She wakes up and mommy teaches her how to please daddy. </v>
      </c>
      <c r="E17" s="27" t="str">
        <f>IFERROR(__xludf.DUMMYFUNCTION("""COMPUTED_VALUE"""),"accomplice, road head, precum smears, oral, everyone cums, cum swapping, mom/daughter kiss, incest, DDlg")</f>
        <v>accomplice, road head, precum smears, oral, everyone cums, cum swapping, mom/daughter kiss, incest, DDlg</v>
      </c>
    </row>
    <row r="18">
      <c r="A18" s="52">
        <f>IFERROR(__xludf.DUMMYFUNCTION("""COMPUTED_VALUE"""),163.0)</f>
        <v>163</v>
      </c>
      <c r="B18" s="51">
        <f>IFERROR(__xludf.DUMMYFUNCTION("""COMPUTED_VALUE"""),44881.0)</f>
        <v>44881</v>
      </c>
      <c r="C18" s="27" t="str">
        <f>IFERROR(__xludf.DUMMYFUNCTION("""COMPUTED_VALUE"""),"Custom: A Daughter's Punishment")</f>
        <v>Custom: A Daughter's Punishment</v>
      </c>
      <c r="D18" s="27" t="str">
        <f>IFERROR(__xludf.DUMMYFUNCTION("""COMPUTED_VALUE""")," I play a mom and you're dad. We have a daughter that needs a punishment and we decide turning her into our little fuck toy until we're sexually satisfied will teach her a lesson!")</f>
        <v> I play a mom and you're dad. We have a daughter that needs a punishment and we decide turning her into our little fuck toy until we're sexually satisfied will teach her a lesson!</v>
      </c>
      <c r="E18" s="27" t="str">
        <f>IFERROR(__xludf.DUMMYFUNCTION("""COMPUTED_VALUE"""),"ddlg, mdlg, accomplice, incest, kissing, rimming, oral, blow job sounds, spanking, flat chest slapping, deepthroat, force, tit smothering, choking, rough anal, face sitting/fucking, anal creampie, mention of anal gape")</f>
        <v>ddlg, mdlg, accomplice, incest, kissing, rimming, oral, blow job sounds, spanking, flat chest slapping, deepthroat, force, tit smothering, choking, rough anal, face sitting/fucking, anal creampie, mention of anal gape</v>
      </c>
    </row>
    <row r="19">
      <c r="A19" s="52">
        <f>IFERROR(__xludf.DUMMYFUNCTION("""COMPUTED_VALUE"""),164.0)</f>
        <v>164</v>
      </c>
      <c r="B19" s="51">
        <f>IFERROR(__xludf.DUMMYFUNCTION("""COMPUTED_VALUE"""),44883.0)</f>
        <v>44883</v>
      </c>
      <c r="C19" s="27" t="str">
        <f>IFERROR(__xludf.DUMMYFUNCTION("""COMPUTED_VALUE"""),"Custom: Daddy Daughter Love")</f>
        <v>Custom: Daddy Daughter Love</v>
      </c>
      <c r="D19" s="27" t="str">
        <f>IFERROR(__xludf.DUMMYFUNCTION("""COMPUTED_VALUE"""),"In this fantasy, you are a father to a young girl and you have a deep incestuous love for each other and cannot wait to biological breed your daughter and make more girls to enjoy. ")</f>
        <v>In this fantasy, you are a father to a young girl and you have a deep incestuous love for each other and cannot wait to biological breed your daughter and make more girls to enjoy. </v>
      </c>
      <c r="E19" s="27" t="str">
        <f>IFERROR(__xludf.DUMMYFUNCTION("""COMPUTED_VALUE"""),"incest, ddlg, biological inbreeding, pedophile sympathy, vagina &amp; penis (not cock and pussy), mention of oral and cowgirl, creampie, sensual, consensual")</f>
        <v>incest, ddlg, biological inbreeding, pedophile sympathy, vagina &amp; penis (not cock and pussy), mention of oral and cowgirl, creampie, sensual, consensual</v>
      </c>
    </row>
    <row r="20">
      <c r="A20" s="52">
        <f>IFERROR(__xludf.DUMMYFUNCTION("""COMPUTED_VALUE"""),168.0)</f>
        <v>168</v>
      </c>
      <c r="B20" s="51">
        <f>IFERROR(__xludf.DUMMYFUNCTION("""COMPUTED_VALUE"""),44885.0)</f>
        <v>44885</v>
      </c>
      <c r="C20" s="27" t="str">
        <f>IFERROR(__xludf.DUMMYFUNCTION("""COMPUTED_VALUE"""),"Custom: Grandpa is a Perv")</f>
        <v>Custom: Grandpa is a Perv</v>
      </c>
      <c r="D20" s="27" t="str">
        <f>IFERROR(__xludf.DUMMYFUNCTION("""COMPUTED_VALUE"""),"I find my father's disgusting folder of illegal incest content. I confront him about it because I'm disgusted he wants to sexualize me and our family, but the more I talk about it with him, the more turned on I get, especially when I learn it's my daughte"&amp;"r he really wants. ")</f>
        <v>I find my father's disgusting folder of illegal incest content. I confront him about it because I'm disgusted he wants to sexualize me and our family, but the more I talk about it with him, the more turned on I get, especially when I learn it's my daughter he really wants. </v>
      </c>
      <c r="E20" s="27" t="str">
        <f>IFERROR(__xludf.DUMMYFUNCTION("""COMPUTED_VALUE"""),"humiliation, pervert encouragement, voyeur, ddlg, grandma, family orgy, incest")</f>
        <v>humiliation, pervert encouragement, voyeur, ddlg, grandma, family orgy, incest</v>
      </c>
    </row>
    <row r="21">
      <c r="A21" s="52">
        <f>IFERROR(__xludf.DUMMYFUNCTION("""COMPUTED_VALUE"""),184.0)</f>
        <v>184</v>
      </c>
      <c r="B21" s="51">
        <f>IFERROR(__xludf.DUMMYFUNCTION("""COMPUTED_VALUE"""),44902.0)</f>
        <v>44902</v>
      </c>
      <c r="C21" s="27" t="str">
        <f>IFERROR(__xludf.DUMMYFUNCTION("""COMPUTED_VALUE"""),"Silent Call: Perv Daddy Encouragement")</f>
        <v>Silent Call: Perv Daddy Encouragement</v>
      </c>
      <c r="D21" s="27" t="str">
        <f>IFERROR(__xludf.DUMMYFUNCTION("""COMPUTED_VALUE""")," Trigger filled, perv encouragement silent call that focuses on taking you deeper and making your cock feel good.")</f>
        <v> Trigger filled, perv encouragement silent call that focuses on taking you deeper and making your cock feel good.</v>
      </c>
      <c r="E21" s="27" t="str">
        <f>IFERROR(__xludf.DUMMYFUNCTION("""COMPUTED_VALUE"""),"ddlg, goddess, accomplice, enabler, go deeper, pervert encouragement")</f>
        <v>ddlg, goddess, accomplice, enabler, go deeper, pervert encouragement</v>
      </c>
    </row>
    <row r="22">
      <c r="A22" s="52">
        <f>IFERROR(__xludf.DUMMYFUNCTION("""COMPUTED_VALUE"""),197.0)</f>
        <v>197</v>
      </c>
      <c r="B22" s="51">
        <f>IFERROR(__xludf.DUMMYFUNCTION("""COMPUTED_VALUE"""),45291.0)</f>
        <v>45291</v>
      </c>
      <c r="C22" s="27" t="str">
        <f>IFERROR(__xludf.DUMMYFUNCTION("""COMPUTED_VALUE"""),"Custom: Mom &amp; Dad Can't Wait")</f>
        <v>Custom: Mom &amp; Dad Can't Wait</v>
      </c>
      <c r="D22" s="27" t="str">
        <f>IFERROR(__xludf.DUMMYFUNCTION("""COMPUTED_VALUE"""),"We just gave birth to newborn and just got home from the hospital. We can't wait to enjoy our new bundle while we're waiting on grandpa &amp; uncle to come join us. Fast forward to her first birthday and then her at 3 years old and you'll get to hear how our "&amp;"little toy serves us.")</f>
        <v>We just gave birth to newborn and just got home from the hospital. We can't wait to enjoy our new bundle while we're waiting on grandpa &amp; uncle to come join us. Fast forward to her first birthday and then her at 3 years old and you'll get to hear how our little toy serves us.</v>
      </c>
      <c r="E22" s="27" t="str">
        <f>IFERROR(__xludf.DUMMYFUNCTION("""COMPUTED_VALUE"""),"pervy wife experience, pervy mom &amp; dad, DDlg, incest, grandpa &amp; uncle incest, anal, oral, licking sounds, bukkake, gangbang, bondange, reverse cowgirl, creampie, mommy squirt")</f>
        <v>pervy wife experience, pervy mom &amp; dad, DDlg, incest, grandpa &amp; uncle incest, anal, oral, licking sounds, bukkake, gangbang, bondange, reverse cowgirl, creampie, mommy squirt</v>
      </c>
    </row>
    <row r="23">
      <c r="A23" s="52">
        <f>IFERROR(__xludf.DUMMYFUNCTION("""COMPUTED_VALUE"""),202.0)</f>
        <v>202</v>
      </c>
      <c r="B23" s="51">
        <f>IFERROR(__xludf.DUMMYFUNCTION("""COMPUTED_VALUE"""),44932.0)</f>
        <v>44932</v>
      </c>
      <c r="C23" s="27" t="str">
        <f>IFERROR(__xludf.DUMMYFUNCTION("""COMPUTED_VALUE"""),"Custom: Daddy's Daughter Bride")</f>
        <v>Custom: Daddy's Daughter Bride</v>
      </c>
      <c r="D23" s="27" t="str">
        <f>IFERROR(__xludf.DUMMYFUNCTION("""COMPUTED_VALUE"""),"First I marry you and your young bride and then I talk through your honeymoon experience with your newly wedded bride and daughter.")</f>
        <v>First I marry you and your young bride and then I talk through your honeymoon experience with your newly wedded bride and daughter.</v>
      </c>
      <c r="E23" s="27" t="str">
        <f>IFERROR(__xludf.DUMMYFUNCTION("""COMPUTED_VALUE"""),"sensual, consensual, loving incest, ddlg, wedding/marriage, honeymoon love making, cowgirl, porn producing, creampies, vagina &amp; penis not cock &amp; pussy, incest")</f>
        <v>sensual, consensual, loving incest, ddlg, wedding/marriage, honeymoon love making, cowgirl, porn producing, creampies, vagina &amp; penis not cock &amp; pussy, incest</v>
      </c>
    </row>
    <row r="24">
      <c r="A24" s="52">
        <f>IFERROR(__xludf.DUMMYFUNCTION("""COMPUTED_VALUE"""),207.0)</f>
        <v>207</v>
      </c>
      <c r="B24" s="51">
        <f>IFERROR(__xludf.DUMMYFUNCTION("""COMPUTED_VALUE"""),44935.0)</f>
        <v>44935</v>
      </c>
      <c r="C24" s="27" t="str">
        <f>IFERROR(__xludf.DUMMYFUNCTION("""COMPUTED_VALUE"""),"Silent Call: Little Girl Harem")</f>
        <v>Silent Call: Little Girl Harem</v>
      </c>
      <c r="D24" s="27" t="str">
        <f>IFERROR(__xludf.DUMMYFUNCTION("""COMPUTED_VALUE"""),"I helped you collect a captured harem and explain your favorite dolls and how they've all adjusted to a life of your use.")</f>
        <v>I helped you collect a captured harem and explain your favorite dolls and how they've all adjusted to a life of your use.</v>
      </c>
      <c r="E24" s="27" t="str">
        <f>IFERROR(__xludf.DUMMYFUNCTION("""COMPUTED_VALUE"""),"accomplice, captured mind fucks, begging, small ddlg theme, oral, no anal, creampies, bratty girls")</f>
        <v>accomplice, captured mind fucks, begging, small ddlg theme, oral, no anal, creampies, bratty girls</v>
      </c>
    </row>
    <row r="25">
      <c r="A25" s="52">
        <f>IFERROR(__xludf.DUMMYFUNCTION("""COMPUTED_VALUE"""),209.0)</f>
        <v>209</v>
      </c>
      <c r="B25" s="51">
        <f>IFERROR(__xludf.DUMMYFUNCTION("""COMPUTED_VALUE"""),44939.0)</f>
        <v>44939</v>
      </c>
      <c r="C25" s="27" t="str">
        <f>IFERROR(__xludf.DUMMYFUNCTION("""COMPUTED_VALUE"""),"Script Fill: A Quiet Evening")</f>
        <v>Script Fill: A Quiet Evening</v>
      </c>
      <c r="D25" s="27" t="str">
        <f>IFERROR(__xludf.DUMMYFUNCTION("""COMPUTED_VALUE"""),"Experience this family's quiet evening home where incest and depraved things happen")</f>
        <v>Experience this family's quiet evening home where incest and depraved things happen</v>
      </c>
      <c r="E25" s="27" t="str">
        <f>IFERROR(__xludf.DUMMYFUNCTION("""COMPUTED_VALUE"""),"female masturbation, anal, incest, female moaning, whispers, oral, ddlg, beast, sex messes")</f>
        <v>female masturbation, anal, incest, female moaning, whispers, oral, ddlg, beast, sex messes</v>
      </c>
    </row>
    <row r="26">
      <c r="A26" s="52">
        <f>IFERROR(__xludf.DUMMYFUNCTION("""COMPUTED_VALUE"""),211.0)</f>
        <v>211</v>
      </c>
      <c r="B26" s="51">
        <f>IFERROR(__xludf.DUMMYFUNCTION("""COMPUTED_VALUE"""),44941.0)</f>
        <v>44941</v>
      </c>
      <c r="C26" s="27" t="str">
        <f>IFERROR(__xludf.DUMMYFUNCTION("""COMPUTED_VALUE"""),"Custom: My Dad Fantasies")</f>
        <v>Custom: My Dad Fantasies</v>
      </c>
      <c r="D26" s="27" t="str">
        <f>IFERROR(__xludf.DUMMYFUNCTION("""COMPUTED_VALUE"""),"One of my special boys commissioned this audio idea. He wanted to hear the fantasies about my dad I've closed my eyes to and masturbated to. Straight from Miss Bea's imagination. ")</f>
        <v>One of my special boys commissioned this audio idea. He wanted to hear the fantasies about my dad I've closed my eyes to and masturbated to. Straight from Miss Bea's imagination. </v>
      </c>
      <c r="E26" s="27" t="str">
        <f>IFERROR(__xludf.DUMMYFUNCTION("""COMPUTED_VALUE"""),"incest, ddlg, panty sniffing, daddy's good girl, public sex, first masturbation experience, anal, ass to mouth")</f>
        <v>incest, ddlg, panty sniffing, daddy's good girl, public sex, first masturbation experience, anal, ass to mouth</v>
      </c>
    </row>
    <row r="27">
      <c r="A27" s="52">
        <f>IFERROR(__xludf.DUMMYFUNCTION("""COMPUTED_VALUE"""),220.0)</f>
        <v>220</v>
      </c>
      <c r="B27" s="51">
        <f>IFERROR(__xludf.DUMMYFUNCTION("""COMPUTED_VALUE"""),44949.0)</f>
        <v>44949</v>
      </c>
      <c r="C27" s="27" t="str">
        <f>IFERROR(__xludf.DUMMYFUNCTION("""COMPUTED_VALUE"""),"Custom: Daddy's Breeding Whore")</f>
        <v>Custom: Daddy's Breeding Whore</v>
      </c>
      <c r="D27" s="27" t="str">
        <f>IFERROR(__xludf.DUMMYFUNCTION("""COMPUTED_VALUE"""),"A mother finds some interesting clues to let her know dad and her daughter are both into the DDlg fetish. She brings the two of them together, turning her into daddy's breeding whore. ")</f>
        <v>A mother finds some interesting clues to let her know dad and her daughter are both into the DDlg fetish. She brings the two of them together, turning her into daddy's breeding whore. </v>
      </c>
      <c r="E27" s="27" t="str">
        <f>IFERROR(__xludf.DUMMYFUNCTION("""COMPUTED_VALUE"""),"DDlg, hole training, breeding kink, incest, oral, missionary, creampie")</f>
        <v>DDlg, hole training, breeding kink, incest, oral, missionary, creampie</v>
      </c>
    </row>
    <row r="28">
      <c r="A28" s="52">
        <f>IFERROR(__xludf.DUMMYFUNCTION("""COMPUTED_VALUE"""),223.0)</f>
        <v>223</v>
      </c>
      <c r="B28" s="51">
        <f>IFERROR(__xludf.DUMMYFUNCTION("""COMPUTED_VALUE"""),44951.0)</f>
        <v>44951</v>
      </c>
      <c r="C28" s="27" t="str">
        <f>IFERROR(__xludf.DUMMYFUNCTION("""COMPUTED_VALUE"""),"Custom: Forced Cam Show")</f>
        <v>Custom: Forced Cam Show</v>
      </c>
      <c r="D28" s="27" t="str">
        <f>IFERROR(__xludf.DUMMYFUNCTION("""COMPUTED_VALUE"""),"You're my partner and I am your accomplice. I gift you with a live forced incest show that I direct while stroking you. ")</f>
        <v>You're my partner and I am your accomplice. I gift you with a live forced incest show that I direct while stroking you. </v>
      </c>
      <c r="E28" s="27" t="str">
        <f>IFERROR(__xludf.DUMMYFUNCTION("""COMPUTED_VALUE"""),"accomplice, web cam show, DDlg, oral, incest, creampies, force, noncon")</f>
        <v>accomplice, web cam show, DDlg, oral, incest, creampies, force, noncon</v>
      </c>
    </row>
    <row r="29">
      <c r="A29" s="52">
        <f>IFERROR(__xludf.DUMMYFUNCTION("""COMPUTED_VALUE"""),234.0)</f>
        <v>234</v>
      </c>
      <c r="B29" s="51">
        <f>IFERROR(__xludf.DUMMYFUNCTION("""COMPUTED_VALUE"""),44965.0)</f>
        <v>44965</v>
      </c>
      <c r="C29" s="27" t="str">
        <f>IFERROR(__xludf.DUMMYFUNCTION("""COMPUTED_VALUE"""),"Custom: Daddy Takes Charge")</f>
        <v>Custom: Daddy Takes Charge</v>
      </c>
      <c r="D29" s="27" t="str">
        <f>IFERROR(__xludf.DUMMYFUNCTION("""COMPUTED_VALUE"""),"A father turns his daughters into his, used everyday for his pleasures. ")</f>
        <v>A father turns his daughters into his, used everyday for his pleasures. </v>
      </c>
      <c r="E29" s="27" t="str">
        <f>IFERROR(__xludf.DUMMYFUNCTION("""COMPUTED_VALUE"""),"DDlg, incest, breeding, restrained, noncon, creampie, anal, anal creampie")</f>
        <v>DDlg, incest, breeding, restrained, noncon, creampie, anal, anal creampie</v>
      </c>
    </row>
    <row r="30">
      <c r="A30" s="52">
        <f>IFERROR(__xludf.DUMMYFUNCTION("""COMPUTED_VALUE"""),248.0)</f>
        <v>248</v>
      </c>
      <c r="B30" s="51">
        <f>IFERROR(__xludf.DUMMYFUNCTION("""COMPUTED_VALUE"""),44984.0)</f>
        <v>44984</v>
      </c>
      <c r="C30" s="27" t="str">
        <f>IFERROR(__xludf.DUMMYFUNCTION("""COMPUTED_VALUE"""),"Custom: Daughter's Punishment Room")</f>
        <v>Custom: Daughter's Punishment Room</v>
      </c>
      <c r="D30" s="27" t="str">
        <f>IFERROR(__xludf.DUMMYFUNCTION("""COMPUTED_VALUE"""),"Me and the listener are parents and decide to try out our new punishment room with our daughter. ")</f>
        <v>Me and the listener are parents and decide to try out our new punishment room with our daughter. </v>
      </c>
      <c r="E30" s="27" t="str">
        <f>IFERROR(__xludf.DUMMYFUNCTION("""COMPUTED_VALUE"""),"bondage, MDlg, DDlg, choking, oral, oral sfx, spanking, spanking sfx, fingering, crying sfx, moaning sfx, anal, double stuffed, Hitachi wand, collar, anal creampie, squirting, incest")</f>
        <v>bondage, MDlg, DDlg, choking, oral, oral sfx, spanking, spanking sfx, fingering, crying sfx, moaning sfx, anal, double stuffed, Hitachi wand, collar, anal creampie, squirting, incest</v>
      </c>
    </row>
    <row r="31">
      <c r="A31" s="52">
        <f>IFERROR(__xludf.DUMMYFUNCTION("""COMPUTED_VALUE"""),255.0)</f>
        <v>255</v>
      </c>
      <c r="B31" s="51">
        <f>IFERROR(__xludf.DUMMYFUNCTION("""COMPUTED_VALUE"""),44993.0)</f>
        <v>44993</v>
      </c>
      <c r="C31" s="27" t="str">
        <f>IFERROR(__xludf.DUMMYFUNCTION("""COMPUTED_VALUE"""),"Custom: A Cumsluts Trauma Story")</f>
        <v>Custom: A Cumsluts Trauma Story</v>
      </c>
      <c r="D31" s="27" t="str">
        <f>IFERROR(__xludf.DUMMYFUNCTION("""COMPUTED_VALUE""")," One hour &amp; 30 min audio. A woman recounts whenever her mom got a new boyfriend and the relationship that formed between her and him, moving from flirty and semi-innocent to a very dark ending. ")</f>
        <v> One hour &amp; 30 min audio. A woman recounts whenever her mom got a new boyfriend and the relationship that formed between her and him, moving from flirty and semi-innocent to a very dark ending. </v>
      </c>
      <c r="E31" s="27" t="str">
        <f>IFERROR(__xludf.DUMMYFUNCTION("""COMPUTED_VALUE"""),"noncon, step father/mom’s boyfriend, slow burn, teasing, secrets, multiple cum shots, narrative, first time female masturbation, corruption, oral, virgin, anal, creampie, teasing, DDlg")</f>
        <v>noncon, step father/mom’s boyfriend, slow burn, teasing, secrets, multiple cum shots, narrative, first time female masturbation, corruption, oral, virgin, anal, creampie, teasing, DDlg</v>
      </c>
    </row>
    <row r="32">
      <c r="A32" s="52">
        <f>IFERROR(__xludf.DUMMYFUNCTION("""COMPUTED_VALUE"""),261.0)</f>
        <v>261</v>
      </c>
      <c r="B32" s="51">
        <f>IFERROR(__xludf.DUMMYFUNCTION("""COMPUTED_VALUE"""),44997.0)</f>
        <v>44997</v>
      </c>
      <c r="C32" s="27" t="str">
        <f>IFERROR(__xludf.DUMMYFUNCTION("""COMPUTED_VALUE"""),"Custom: Your Daughter's Toes &amp; Soles")</f>
        <v>Custom: Your Daughter's Toes &amp; Soles</v>
      </c>
      <c r="D32" s="27" t="str">
        <f>IFERROR(__xludf.DUMMYFUNCTION("""COMPUTED_VALUE"""),"Your bratty daughter teases you with her pedicured toes, ending up with a very pervy foot job. ")</f>
        <v>Your bratty daughter teases you with her pedicured toes, ending up with a very pervy foot job. </v>
      </c>
      <c r="E32" s="27" t="str">
        <f>IFERROR(__xludf.DUMMYFUNCTION("""COMPUTED_VALUE"""),"foot fetish, soles, toes, bratty, teasing, cum countdown, cum on feet, daughter cleans it up, DDlg, ap feet")</f>
        <v>foot fetish, soles, toes, bratty, teasing, cum countdown, cum on feet, daughter cleans it up, DDlg, ap feet</v>
      </c>
    </row>
    <row r="33">
      <c r="A33" s="52">
        <f>IFERROR(__xludf.DUMMYFUNCTION("""COMPUTED_VALUE"""),267.0)</f>
        <v>267</v>
      </c>
      <c r="B33" s="51">
        <f>IFERROR(__xludf.DUMMYFUNCTION("""COMPUTED_VALUE"""),45008.0)</f>
        <v>45008</v>
      </c>
      <c r="C33" s="27" t="str">
        <f>IFERROR(__xludf.DUMMYFUNCTION("""COMPUTED_VALUE"""),"Dolls Porn Production Interview")</f>
        <v>Dolls Porn Production Interview</v>
      </c>
      <c r="D33" s="27" t="str">
        <f>IFERROR(__xludf.DUMMYFUNCTION("""COMPUTED_VALUE"""),"You’re interviewing for the male talent position with me. We review your history and capabilities to fill the role and then tour the facility with me. ")</f>
        <v>You’re interviewing for the male talent position with me. We review your history and capabilities to fill the role and then tour the facility with me. </v>
      </c>
      <c r="E33" s="27" t="str">
        <f>IFERROR(__xludf.DUMMYFUNCTION("""COMPUTED_VALUE"""),"alternate reality, extreme, DDlg, fluffer, drug mention, noncon, fingering, porn setting, watersports, bondage, beast, bukkake, helicopter moms, pervert encouragement")</f>
        <v>alternate reality, extreme, DDlg, fluffer, drug mention, noncon, fingering, porn setting, watersports, bondage, beast, bukkake, helicopter moms, pervert encouragement</v>
      </c>
    </row>
    <row r="34">
      <c r="A34" s="52">
        <f>IFERROR(__xludf.DUMMYFUNCTION("""COMPUTED_VALUE"""),268.0)</f>
        <v>268</v>
      </c>
      <c r="B34" s="51">
        <f>IFERROR(__xludf.DUMMYFUNCTION("""COMPUTED_VALUE"""),45008.0)</f>
        <v>45008</v>
      </c>
      <c r="C34" s="27" t="str">
        <f>IFERROR(__xludf.DUMMYFUNCTION("""COMPUTED_VALUE"""),"Commercials of Perversions")</f>
        <v>Commercials of Perversions</v>
      </c>
      <c r="D34" s="27" t="str">
        <f>IFERROR(__xludf.DUMMYFUNCTION("""COMPUTED_VALUE""")," Maisie Moon is back with more commercials of extreme perversions. ")</f>
        <v> Maisie Moon is back with more commercials of extreme perversions. </v>
      </c>
      <c r="E34" s="27" t="str">
        <f>IFERROR(__xludf.DUMMYFUNCTION("""COMPUTED_VALUE"""),"sex toys, deep throat, intoxication, DDlg, incest, bdsm, plastic surgery, chastity, beast, snuff, necro, misogyny")</f>
        <v>sex toys, deep throat, intoxication, DDlg, incest, bdsm, plastic surgery, chastity, beast, snuff, necro, misogyny</v>
      </c>
    </row>
    <row r="35">
      <c r="A35" s="52">
        <f>IFERROR(__xludf.DUMMYFUNCTION("""COMPUTED_VALUE"""),271.0)</f>
        <v>271</v>
      </c>
      <c r="B35" s="51">
        <f>IFERROR(__xludf.DUMMYFUNCTION("""COMPUTED_VALUE"""),45009.0)</f>
        <v>45009</v>
      </c>
      <c r="C35" s="27" t="str">
        <f>IFERROR(__xludf.DUMMYFUNCTION("""COMPUTED_VALUE"""),"Pervy Ramblings: Happy Meals &amp; Obsessions")</f>
        <v>Pervy Ramblings: Happy Meals &amp; Obsessions</v>
      </c>
      <c r="D35" s="27" t="str">
        <f>IFERROR(__xludf.DUMMYFUNCTION("""COMPUTED_VALUE"""),"Coming back weekly. The pervy ramblings from Miss Bea’s head. ")</f>
        <v>Coming back weekly. The pervy ramblings from Miss Bea’s head. </v>
      </c>
      <c r="E35" s="27" t="str">
        <f>IFERROR(__xludf.DUMMYFUNCTION("""COMPUTED_VALUE"""),"female masturbation, DDlg, uncle/niece, foot fetish, beast, happy meals, misogyny, rambling")</f>
        <v>female masturbation, DDlg, uncle/niece, foot fetish, beast, happy meals, misogyny, rambling</v>
      </c>
    </row>
    <row r="36">
      <c r="A36" s="52">
        <f>IFERROR(__xludf.DUMMYFUNCTION("""COMPUTED_VALUE"""),272.0)</f>
        <v>272</v>
      </c>
      <c r="B36" s="51">
        <f>IFERROR(__xludf.DUMMYFUNCTION("""COMPUTED_VALUE"""),45013.0)</f>
        <v>45013</v>
      </c>
      <c r="C36" s="27" t="str">
        <f>IFERROR(__xludf.DUMMYFUNCTION("""COMPUTED_VALUE"""),"Silent Call: Daddy's Pool Party Gangbang")</f>
        <v>Silent Call: Daddy's Pool Party Gangbang</v>
      </c>
      <c r="D36" s="27" t="str">
        <f>IFERROR(__xludf.DUMMYFUNCTION("""COMPUTED_VALUE"""),"Daddy shows off his girl’s skills to his friends. ")</f>
        <v>Daddy shows off his girl’s skills to his friends. </v>
      </c>
      <c r="E36" s="27" t="str">
        <f>IFERROR(__xludf.DUMMYFUNCTION("""COMPUTED_VALUE"""),"gangbang, DDlg, double penetration, oral, facials, creampies")</f>
        <v>gangbang, DDlg, double penetration, oral, facials, creampies</v>
      </c>
    </row>
    <row r="37">
      <c r="A37" s="52">
        <f>IFERROR(__xludf.DUMMYFUNCTION("""COMPUTED_VALUE"""),280.0)</f>
        <v>280</v>
      </c>
      <c r="B37" s="51">
        <f>IFERROR(__xludf.DUMMYFUNCTION("""COMPUTED_VALUE"""),45020.0)</f>
        <v>45020</v>
      </c>
      <c r="C37" s="27" t="str">
        <f>IFERROR(__xludf.DUMMYFUNCTION("""COMPUTED_VALUE"""),"Miss Bea Gets Analyzed")</f>
        <v>Miss Bea Gets Analyzed</v>
      </c>
      <c r="D37" s="27" t="str">
        <f>IFERROR(__xludf.DUMMYFUNCTION("""COMPUTED_VALUE"""),"I’m participating in a doctor’s evaluation which lead me to confess to my past with my daddy. ")</f>
        <v>I’m participating in a doctor’s evaluation which lead me to confess to my past with my daddy. </v>
      </c>
      <c r="E37" s="27" t="str">
        <f>IFERROR(__xludf.DUMMYFUNCTION("""COMPUTED_VALUE"""),"DDlg, confession, oral, hole training, anal, daddy’s secret slut, dirty talking, daddy’s girl, secret sex, masturbation")</f>
        <v>DDlg, confession, oral, hole training, anal, daddy’s secret slut, dirty talking, daddy’s girl, secret sex, masturbation</v>
      </c>
    </row>
    <row r="38">
      <c r="A38" s="52">
        <f>IFERROR(__xludf.DUMMYFUNCTION("""COMPUTED_VALUE"""),282.0)</f>
        <v>282</v>
      </c>
      <c r="B38" s="51">
        <f>IFERROR(__xludf.DUMMYFUNCTION("""COMPUTED_VALUE"""),45021.0)</f>
        <v>45021</v>
      </c>
      <c r="C38" s="27" t="str">
        <f>IFERROR(__xludf.DUMMYFUNCTION("""COMPUTED_VALUE"""),"Perv Family Voicemails &amp; Captions")</f>
        <v>Perv Family Voicemails &amp; Captions</v>
      </c>
      <c r="D38" s="27" t="str">
        <f>IFERROR(__xludf.DUMMYFUNCTION("""COMPUTED_VALUE"""),"I am your wife and we have 4 kids together that I homeschool while you're at work. You get to experience a day in the life where I send text messages and voicemails. ")</f>
        <v>I am your wife and we have 4 kids together that I homeschool while you're at work. You get to experience a day in the life where I send text messages and voicemails. </v>
      </c>
      <c r="E38" s="27" t="str">
        <f>IFERROR(__xludf.DUMMYFUNCTION("""COMPUTED_VALUE"""),"captions, fake text messages, pervy wife experience, incest, bro/sis, mom/daughter, ddlg, dad/son, very light bi mention, breastfeeding, misogyny, anal, bondage, playground sfx, moaning/gagged sfx, incest")</f>
        <v>captions, fake text messages, pervy wife experience, incest, bro/sis, mom/daughter, ddlg, dad/son, very light bi mention, breastfeeding, misogyny, anal, bondage, playground sfx, moaning/gagged sfx, incest</v>
      </c>
    </row>
    <row r="39">
      <c r="A39" s="52">
        <f>IFERROR(__xludf.DUMMYFUNCTION("""COMPUTED_VALUE"""),290.0)</f>
        <v>290</v>
      </c>
      <c r="B39" s="51">
        <f>IFERROR(__xludf.DUMMYFUNCTION("""COMPUTED_VALUE"""),45034.0)</f>
        <v>45034</v>
      </c>
      <c r="C39" s="27" t="str">
        <f>IFERROR(__xludf.DUMMYFUNCTION("""COMPUTED_VALUE"""),"Custom: DDlg Blackmail")</f>
        <v>Custom: DDlg Blackmail</v>
      </c>
      <c r="D39" s="27" t="str">
        <f>IFERROR(__xludf.DUMMYFUNCTION("""COMPUTED_VALUE"""),"I’m your loving girlfriend that’s encourage your ddlg fantasies and we’ve had a lot of kinky fun. I reveal to you that all those kinky dares I gave you to prove you’re a secret perv dad are now ammunition for me to force you into doing something super fuc"&amp;"ked up mostly for my pleasure. ")</f>
        <v>I’m your loving girlfriend that’s encourage your ddlg fantasies and we’ve had a lot of kinky fun. I reveal to you that all those kinky dares I gave you to prove you’re a secret perv dad are now ammunition for me to force you into doing something super fucked up mostly for my pleasure. </v>
      </c>
      <c r="E39" s="27" t="str">
        <f>IFERROR(__xludf.DUMMYFUNCTION("""COMPUTED_VALUE"""),"DDlg, pervy gfe, dirty talk, panty sniffing, cum tributes, blackmail threats, accomplice, noncon, devious corruption, intoxication, breeding, incest")</f>
        <v>DDlg, pervy gfe, dirty talk, panty sniffing, cum tributes, blackmail threats, accomplice, noncon, devious corruption, intoxication, breeding, incest</v>
      </c>
    </row>
    <row r="40">
      <c r="A40" s="52">
        <f>IFERROR(__xludf.DUMMYFUNCTION("""COMPUTED_VALUE"""),291.0)</f>
        <v>291</v>
      </c>
      <c r="B40" s="51">
        <f>IFERROR(__xludf.DUMMYFUNCTION("""COMPUTED_VALUE"""),45034.0)</f>
        <v>45034</v>
      </c>
      <c r="C40" s="27" t="str">
        <f>IFERROR(__xludf.DUMMYFUNCTION("""COMPUTED_VALUE"""),"Custom: New Daddy Promises")</f>
        <v>Custom: New Daddy Promises</v>
      </c>
      <c r="D40" s="27" t="str">
        <f>IFERROR(__xludf.DUMMYFUNCTION("""COMPUTED_VALUE"""),"I’m your loving girlfriend that’s so excited to marry you. I tell you my plans to ensure you have a total of three cock dolls in our home, becoming my girls’ new daddy. ")</f>
        <v>I’m your loving girlfriend that’s so excited to marry you. I tell you my plans to ensure you have a total of three cock dolls in our home, becoming my girls’ new daddy. </v>
      </c>
      <c r="E40" s="27" t="str">
        <f>IFERROR(__xludf.DUMMYFUNCTION("""COMPUTED_VALUE"""),"DDlg, pervy gfe, training, accomplice, bad (good) mommy, encouraging, oral, cum in mouth, handjob, cum in hair, twins")</f>
        <v>DDlg, pervy gfe, training, accomplice, bad (good) mommy, encouraging, oral, cum in mouth, handjob, cum in hair, twins</v>
      </c>
    </row>
    <row r="41">
      <c r="A41" s="52">
        <f>IFERROR(__xludf.DUMMYFUNCTION("""COMPUTED_VALUE"""),300.0)</f>
        <v>300</v>
      </c>
      <c r="B41" s="51">
        <f>IFERROR(__xludf.DUMMYFUNCTION("""COMPUTED_VALUE"""),45044.0)</f>
        <v>45044</v>
      </c>
      <c r="C41" s="27" t="str">
        <f>IFERROR(__xludf.DUMMYFUNCTION("""COMPUTED_VALUE"""),"Custom: Daddy Helps Punish Daughter’s Bullies")</f>
        <v>Custom: Daddy Helps Punish Daughter’s Bullies</v>
      </c>
      <c r="D41" s="27" t="str">
        <f>IFERROR(__xludf.DUMMYFUNCTION("""COMPUTED_VALUE"""),"A group of girls have been bullying me, so I trick them into coming over for a sleepover, only to have me and daddy teach them a lesson!")</f>
        <v>A group of girls have been bullying me, so I trick them into coming over for a sleepover, only to have me and daddy teach them a lesson!</v>
      </c>
      <c r="E41" s="27" t="str">
        <f>IFERROR(__xludf.DUMMYFUNCTION("""COMPUTED_VALUE"""),"noncon, DDlg, bully punishment, mouth fucking, empty stomach for cock, sadistic, daddy’s girl, anal, ass to mouth, tit slapping, daughter accomplice, facial, face sitting, spitting, rimming")</f>
        <v>noncon, DDlg, bully punishment, mouth fucking, empty stomach for cock, sadistic, daddy’s girl, anal, ass to mouth, tit slapping, daughter accomplice, facial, face sitting, spitting, rimming</v>
      </c>
    </row>
    <row r="42">
      <c r="A42" s="52">
        <f>IFERROR(__xludf.DUMMYFUNCTION("""COMPUTED_VALUE"""),306.0)</f>
        <v>306</v>
      </c>
      <c r="B42" s="51">
        <f>IFERROR(__xludf.DUMMYFUNCTION("""COMPUTED_VALUE"""),45054.0)</f>
        <v>45054</v>
      </c>
      <c r="C42" s="27" t="str">
        <f>IFERROR(__xludf.DUMMYFUNCTION("""COMPUTED_VALUE"""),"Custom: Rose's Birthday")</f>
        <v>Custom: Rose's Birthday</v>
      </c>
      <c r="D42" s="27" t="str">
        <f>IFERROR(__xludf.DUMMYFUNCTION("""COMPUTED_VALUE"""),"The perverted family is back for more shenanigans with captions and voicemails. It's Rose's birthday and mommy is planning her first gangbang! But first, she needs to take a shopping trip to get prepared for the big night. ")</f>
        <v>The perverted family is back for more shenanigans with captions and voicemails. It's Rose's birthday and mommy is planning her first gangbang! But first, she needs to take a shopping trip to get prepared for the big night. </v>
      </c>
      <c r="E42" s="27" t="str">
        <f>IFERROR(__xludf.DUMMYFUNCTION("""COMPUTED_VALUE"""),"fake text messages, voicemails, DDlg, MDlg, incest, creampie cleanup, fisting, breastfeeding, oral, porn, gangbang, lingerie, bikini")</f>
        <v>fake text messages, voicemails, DDlg, MDlg, incest, creampie cleanup, fisting, breastfeeding, oral, porn, gangbang, lingerie, bikini</v>
      </c>
    </row>
    <row r="43">
      <c r="A43" s="52">
        <f>IFERROR(__xludf.DUMMYFUNCTION("""COMPUTED_VALUE"""),312.0)</f>
        <v>312</v>
      </c>
      <c r="B43" s="51">
        <f>IFERROR(__xludf.DUMMYFUNCTION("""COMPUTED_VALUE"""),45068.0)</f>
        <v>45068</v>
      </c>
      <c r="C43" s="27" t="str">
        <f>IFERROR(__xludf.DUMMYFUNCTION("""COMPUTED_VALUE"""),"But Daddy, I Need To Pee!")</f>
        <v>But Daddy, I Need To Pee!</v>
      </c>
      <c r="D43" s="27" t="str">
        <f>IFERROR(__xludf.DUMMYFUNCTION("""COMPUTED_VALUE"""),"This is an implied ap audio I made that’s posted publicly and I thought this might be a fun listen with my voice adjusted. Listener is my daddy who’s fed me lots of water and juice and doesn’t let me use the bathroom which makes me pee my pants. And more.")</f>
        <v>This is an implied ap audio I made that’s posted publicly and I thought this might be a fun listen with my voice adjusted. Listener is my daddy who’s fed me lots of water and juice and doesn’t let me use the bathroom which makes me pee my pants. And more.</v>
      </c>
      <c r="E43" s="27" t="str">
        <f>IFERROR(__xludf.DUMMYFUNCTION("""COMPUTED_VALUE"""),"DDlg, watersports, pee in pants, creampie, squirt during penetration")</f>
        <v>DDlg, watersports, pee in pants, creampie, squirt during penetration</v>
      </c>
    </row>
    <row r="44">
      <c r="A44" s="52">
        <f>IFERROR(__xludf.DUMMYFUNCTION("""COMPUTED_VALUE"""),321.0)</f>
        <v>321</v>
      </c>
      <c r="B44" s="51">
        <f>IFERROR(__xludf.DUMMYFUNCTION("""COMPUTED_VALUE"""),45085.0)</f>
        <v>45085</v>
      </c>
      <c r="C44" s="27" t="str">
        <f>IFERROR(__xludf.DUMMYFUNCTION("""COMPUTED_VALUE"""),"Pervy Ramble: Sex Dolls, Public Perving, DDlg Seduction")</f>
        <v>Pervy Ramble: Sex Dolls, Public Perving, DDlg Seduction</v>
      </c>
      <c r="D44" s="27" t="str">
        <f>IFERROR(__xludf.DUMMYFUNCTION("""COMPUTED_VALUE"""),"Just a ramble from things that are currently turning me on")</f>
        <v>Just a ramble from things that are currently turning me on</v>
      </c>
      <c r="E44" s="27" t="str">
        <f>IFERROR(__xludf.DUMMYFUNCTION("""COMPUTED_VALUE"""),"sex dungeon, accomplice, lb/woman, egirls, public, DDlg, panties, tease, anal, rambling")</f>
        <v>sex dungeon, accomplice, lb/woman, egirls, public, DDlg, panties, tease, anal, rambling</v>
      </c>
    </row>
    <row r="45">
      <c r="A45" s="52">
        <f>IFERROR(__xludf.DUMMYFUNCTION("""COMPUTED_VALUE"""),324.0)</f>
        <v>324</v>
      </c>
      <c r="B45" s="51">
        <f>IFERROR(__xludf.DUMMYFUNCTION("""COMPUTED_VALUE"""),45090.0)</f>
        <v>45090</v>
      </c>
      <c r="C45" s="27" t="str">
        <f>IFERROR(__xludf.DUMMYFUNCTION("""COMPUTED_VALUE"""),"Custom: Family Movie Night")</f>
        <v>Custom: Family Movie Night</v>
      </c>
      <c r="D45" s="27" t="str">
        <f>IFERROR(__xludf.DUMMYFUNCTION("""COMPUTED_VALUE"""),"A mom and dad film a special porn video that shows off their slutty toy")</f>
        <v>A mom and dad film a special porn video that shows off their slutty toy</v>
      </c>
      <c r="E45" s="27" t="str">
        <f>IFERROR(__xludf.DUMMYFUNCTION("""COMPUTED_VALUE"""),"MDlg, DDlg, oral, submissive slut, ball gag, leash and collar, bondage, rimming, female moans, blow job sfx, beast, beast sfx, creampie")</f>
        <v>MDlg, DDlg, oral, submissive slut, ball gag, leash and collar, bondage, rimming, female moans, blow job sfx, beast, beast sfx, creampie</v>
      </c>
    </row>
    <row r="46">
      <c r="A46" s="52">
        <f>IFERROR(__xludf.DUMMYFUNCTION("""COMPUTED_VALUE"""),330.0)</f>
        <v>330</v>
      </c>
      <c r="B46" s="51">
        <f>IFERROR(__xludf.DUMMYFUNCTION("""COMPUTED_VALUE"""),45098.0)</f>
        <v>45098</v>
      </c>
      <c r="C46" s="27" t="str">
        <f>IFERROR(__xludf.DUMMYFUNCTION("""COMPUTED_VALUE"""),"Custom: The Naughty Neighbor’s Part 1")</f>
        <v>Custom: The Naughty Neighbor’s Part 1</v>
      </c>
      <c r="D46" s="27" t="str">
        <f>IFERROR(__xludf.DUMMYFUNCTION("""COMPUTED_VALUE"""),"A married couple have sex with their neighbors, the infamous duo from a former audio (Rose’s Birthday) who are perv parents. The pervy parents let them in on their perverted family life, inspiring the couple to dip into the same lifestyle, especially afte"&amp;"r finding their daughter was chatting in a pervy chatroom called Miss Bea’s Bedroom.")</f>
        <v>A married couple have sex with their neighbors, the infamous duo from a former audio (Rose’s Birthday) who are perv parents. The pervy parents let them in on their perverted family life, inspiring the couple to dip into the same lifestyle, especially after finding their daughter was chatting in a pervy chatroom called Miss Bea’s Bedroom.</v>
      </c>
      <c r="E46" s="27" t="str">
        <f>IFERROR(__xludf.DUMMYFUNCTION("""COMPUTED_VALUE"""),"swinging, corruption, incest, captions, DDlg, pillow humping, panties")</f>
        <v>swinging, corruption, incest, captions, DDlg, pillow humping, panties</v>
      </c>
    </row>
    <row r="47">
      <c r="A47" s="52">
        <f>IFERROR(__xludf.DUMMYFUNCTION("""COMPUTED_VALUE"""),331.0)</f>
        <v>331</v>
      </c>
      <c r="B47" s="51">
        <f>IFERROR(__xludf.DUMMYFUNCTION("""COMPUTED_VALUE"""),45099.0)</f>
        <v>45099</v>
      </c>
      <c r="C47" s="27" t="str">
        <f>IFERROR(__xludf.DUMMYFUNCTION("""COMPUTED_VALUE"""),"Custom: Princess Academy")</f>
        <v>Custom: Princess Academy</v>
      </c>
      <c r="D47" s="27" t="str">
        <f>IFERROR(__xludf.DUMMYFUNCTION("""COMPUTED_VALUE"""),"I’m Miss Peach and I run the Princess Academy where I teach helpful (and completely pervy) skills. ")</f>
        <v>I’m Miss Peach and I run the Princess Academy where I teach helpful (and completely pervy) skills. </v>
      </c>
      <c r="E47" s="27" t="str">
        <f>IFERROR(__xludf.DUMMYFUNCTION("""COMPUTED_VALUE"""),"training, incest, DDlg, MDlg, seduction, striptease/lap dance, gangbang mention, oral sfx, creampie")</f>
        <v>training, incest, DDlg, MDlg, seduction, striptease/lap dance, gangbang mention, oral sfx, creampie</v>
      </c>
    </row>
    <row r="48">
      <c r="A48" s="52">
        <f>IFERROR(__xludf.DUMMYFUNCTION("""COMPUTED_VALUE"""),334.0)</f>
        <v>334</v>
      </c>
      <c r="B48" s="51">
        <f>IFERROR(__xludf.DUMMYFUNCTION("""COMPUTED_VALUE"""),45104.0)</f>
        <v>45104</v>
      </c>
      <c r="C48" s="27" t="str">
        <f>IFERROR(__xludf.DUMMYFUNCTION("""COMPUTED_VALUE"""),"Custom: Welcome Home, Son")</f>
        <v>Custom: Welcome Home, Son</v>
      </c>
      <c r="D48" s="27" t="str">
        <f>IFERROR(__xludf.DUMMYFUNCTION("""COMPUTED_VALUE"""),"A new mother settles down with her family, setting the course of her son’s life. ")</f>
        <v>A new mother settles down with her family, setting the course of her son’s life. </v>
      </c>
      <c r="E48" s="27" t="str">
        <f>IFERROR(__xludf.DUMMYFUNCTION("""COMPUTED_VALUE"""),"incest, extreme ap, MDlb, DDlg, sibling incest, oral, anal")</f>
        <v>incest, extreme ap, MDlb, DDlg, sibling incest, oral, anal</v>
      </c>
    </row>
    <row r="49">
      <c r="A49" s="52">
        <f>IFERROR(__xludf.DUMMYFUNCTION("""COMPUTED_VALUE"""),335.0)</f>
        <v>335</v>
      </c>
      <c r="B49" s="51">
        <f>IFERROR(__xludf.DUMMYFUNCTION("""COMPUTED_VALUE"""),45107.0)</f>
        <v>45107</v>
      </c>
      <c r="C49" s="27" t="str">
        <f>IFERROR(__xludf.DUMMYFUNCTION("""COMPUTED_VALUE"""),"Naughty Neighbors Part 2")</f>
        <v>Naughty Neighbors Part 2</v>
      </c>
      <c r="D49" s="27" t="str">
        <f>IFERROR(__xludf.DUMMYFUNCTION("""COMPUTED_VALUE"""),"A mother sits down with her daughter to talk about the things she discovered on her tablet (in part 1 audio) and her daughter coyly seduces her. Afterwards, she brings her husband in to ask him if he wants to join in the naughty fun. ")</f>
        <v>A mother sits down with her daughter to talk about the things she discovered on her tablet (in part 1 audio) and her daughter coyly seduces her. Afterwards, she brings her husband in to ask him if he wants to join in the naughty fun. </v>
      </c>
      <c r="E49" s="27" t="str">
        <f>IFERROR(__xludf.DUMMYFUNCTION("""COMPUTED_VALUE""")," incest, MDlg, DDlg, female masturbation, kissing, oral, creampie, creampie cleanup and swap")</f>
        <v> incest, MDlg, DDlg, female masturbation, kissing, oral, creampie, creampie cleanup and swap</v>
      </c>
    </row>
    <row r="50">
      <c r="A50" s="52">
        <f>IFERROR(__xludf.DUMMYFUNCTION("""COMPUTED_VALUE"""),338.0)</f>
        <v>338</v>
      </c>
      <c r="B50" s="51">
        <f>IFERROR(__xludf.DUMMYFUNCTION("""COMPUTED_VALUE"""),45107.0)</f>
        <v>45107</v>
      </c>
      <c r="C50" s="27" t="str">
        <f>IFERROR(__xludf.DUMMYFUNCTION("""COMPUTED_VALUE"""),"Custom Improv: Maisie Moon’s School For Good Girls")</f>
        <v>Custom Improv: Maisie Moon’s School For Good Girls</v>
      </c>
      <c r="D50" s="27" t="str">
        <f>IFERROR(__xludf.DUMMYFUNCTION("""COMPUTED_VALUE"""),"I teach my students everything they need to be good girls for daddies. One particular session, I bring in a daddy that’s ready to have some hands on training with his girls. I’m in a particularly demanding mood, encouraging more than what’s been taught.")</f>
        <v>I teach my students everything they need to be good girls for daddies. One particular session, I bring in a daddy that’s ready to have some hands on training with his girls. I’m in a particularly demanding mood, encouraging more than what’s been taught.</v>
      </c>
      <c r="E50" s="27" t="str">
        <f>IFERROR(__xludf.DUMMYFUNCTION("""COMPUTED_VALUE"""),"accomplice, DDlg, sis/sis kissing, face fucking, noncon, creampie, cum countdown")</f>
        <v>accomplice, DDlg, sis/sis kissing, face fucking, noncon, creampie, cum countdown</v>
      </c>
    </row>
    <row r="51">
      <c r="A51" s="52">
        <f>IFERROR(__xludf.DUMMYFUNCTION("""COMPUTED_VALUE"""),342.0)</f>
        <v>342</v>
      </c>
      <c r="B51" s="51">
        <f>IFERROR(__xludf.DUMMYFUNCTION("""COMPUTED_VALUE"""),45107.0)</f>
        <v>45107</v>
      </c>
      <c r="C51" s="27" t="str">
        <f>IFERROR(__xludf.DUMMYFUNCTION("""COMPUTED_VALUE"""),"Silent Call: Daddy’s Girl")</f>
        <v>Silent Call: Daddy’s Girl</v>
      </c>
      <c r="D51" s="27" t="str">
        <f>IFERROR(__xludf.DUMMYFUNCTION("""COMPUTED_VALUE"""),"I’m daddy’s accomplice, encouraging daddy to enjoy his sweet girl")</f>
        <v>I’m daddy’s accomplice, encouraging daddy to enjoy his sweet girl</v>
      </c>
      <c r="E51" s="27" t="str">
        <f>IFERROR(__xludf.DUMMYFUNCTION("""COMPUTED_VALUE"""),"accomplice, creampie, breeding, oral, ddlg")</f>
        <v>accomplice, creampie, breeding, oral, ddlg</v>
      </c>
    </row>
    <row r="52">
      <c r="A52" s="52">
        <f>IFERROR(__xludf.DUMMYFUNCTION("""COMPUTED_VALUE"""),349.0)</f>
        <v>349</v>
      </c>
      <c r="B52" s="51">
        <f>IFERROR(__xludf.DUMMYFUNCTION("""COMPUTED_VALUE"""),45112.0)</f>
        <v>45112</v>
      </c>
      <c r="C52" s="27" t="str">
        <f>IFERROR(__xludf.DUMMYFUNCTION("""COMPUTED_VALUE"""),"Custom: Naughty Neighbors Part 3")</f>
        <v>Custom: Naughty Neighbors Part 3</v>
      </c>
      <c r="D52" s="27" t="str">
        <f>IFERROR(__xludf.DUMMYFUNCTION("""COMPUTED_VALUE"""),"The two families come together for fun live movie streaming. ")</f>
        <v>The two families come together for fun live movie streaming. </v>
      </c>
      <c r="E52" s="27" t="str">
        <f>IFERROR(__xludf.DUMMYFUNCTION("""COMPUTED_VALUE"""),"incest, perv lifestyle, girl on girl, DDlg, MDlg, oral, anal")</f>
        <v>incest, perv lifestyle, girl on girl, DDlg, MDlg, oral, anal</v>
      </c>
    </row>
    <row r="53">
      <c r="A53" s="52">
        <f>IFERROR(__xludf.DUMMYFUNCTION("""COMPUTED_VALUE"""),353.0)</f>
        <v>353</v>
      </c>
      <c r="B53" s="51">
        <f>IFERROR(__xludf.DUMMYFUNCTION("""COMPUTED_VALUE"""),45121.0)</f>
        <v>45121</v>
      </c>
      <c r="C53" s="27" t="str">
        <f>IFERROR(__xludf.DUMMYFUNCTION("""COMPUTED_VALUE"""),"Custom: Daughter Slut Programming")</f>
        <v>Custom: Daughter Slut Programming</v>
      </c>
      <c r="D53" s="27" t="str">
        <f>IFERROR(__xludf.DUMMYFUNCTION("""COMPUTED_VALUE"""),"Dr. Beatrix has state of the lab where she brainwashes daughters into being perfect fuck dolls for their daddies. Two of my patients have been exceptionally successful and I decide to brainwash them more, encouraging them to be sluts for all men. ")</f>
        <v>Dr. Beatrix has state of the lab where she brainwashes daughters into being perfect fuck dolls for their daddies. Two of my patients have been exceptionally successful and I decide to brainwash them more, encouraging them to be sluts for all men. </v>
      </c>
      <c r="E53" s="27" t="str">
        <f>IFERROR(__xludf.DUMMYFUNCTION("""COMPUTED_VALUE"""),"accomplice, hypnosis, DDlg, daughter swapping, submissive sluts")</f>
        <v>accomplice, hypnosis, DDlg, daughter swapping, submissive sluts</v>
      </c>
    </row>
    <row r="54">
      <c r="A54" s="52">
        <f>IFERROR(__xludf.DUMMYFUNCTION("""COMPUTED_VALUE"""),358.0)</f>
        <v>358</v>
      </c>
      <c r="B54" s="51">
        <f>IFERROR(__xludf.DUMMYFUNCTION("""COMPUTED_VALUE"""),45126.0)</f>
        <v>45126</v>
      </c>
      <c r="C54" s="27" t="str">
        <f>IFERROR(__xludf.DUMMYFUNCTION("""COMPUTED_VALUE"""),"Custom: Daddy’s Perv Life")</f>
        <v>Custom: Daddy’s Perv Life</v>
      </c>
      <c r="D54" s="27" t="str">
        <f>IFERROR(__xludf.DUMMYFUNCTION("""COMPUTED_VALUE"""),"I’m the best accomplice you could ask for. Encouraging and feeding you all the things a daddy like you desires. ")</f>
        <v>I’m the best accomplice you could ask for. Encouraging and feeding you all the things a daddy like you desires. </v>
      </c>
      <c r="E54" s="27" t="str">
        <f>IFERROR(__xludf.DUMMYFUNCTION("""COMPUTED_VALUE"""),"DDlg, accomplice, outercourse, breeding, trigger word heavy")</f>
        <v>DDlg, accomplice, outercourse, breeding, trigger word heavy</v>
      </c>
    </row>
    <row r="55">
      <c r="A55" s="52">
        <f>IFERROR(__xludf.DUMMYFUNCTION("""COMPUTED_VALUE"""),360.0)</f>
        <v>360</v>
      </c>
      <c r="B55" s="51">
        <f>IFERROR(__xludf.DUMMYFUNCTION("""COMPUTED_VALUE"""),45128.0)</f>
        <v>45128</v>
      </c>
      <c r="C55" s="27" t="str">
        <f>IFERROR(__xludf.DUMMYFUNCTION("""COMPUTED_VALUE"""),"Script Fill: Step-Daddy’s Surprise ")</f>
        <v>Script Fill: Step-Daddy’s Surprise </v>
      </c>
      <c r="D55" s="27" t="str">
        <f>IFERROR(__xludf.DUMMYFUNCTION("""COMPUTED_VALUE"""),"The script is told from the step father’s perspective, a story about when he first really notices his step daughter. ")</f>
        <v>The script is told from the step father’s perspective, a story about when he first really notices his step daughter. </v>
      </c>
      <c r="E55" s="27" t="str">
        <f>IFERROR(__xludf.DUMMYFUNCTION("""COMPUTED_VALUE"""),"DDlg, temptation, noncon, facial")</f>
        <v>DDlg, temptation, noncon, facial</v>
      </c>
    </row>
    <row r="56">
      <c r="A56" s="52">
        <f>IFERROR(__xludf.DUMMYFUNCTION("""COMPUTED_VALUE"""),364.0)</f>
        <v>364</v>
      </c>
      <c r="B56" s="51">
        <f>IFERROR(__xludf.DUMMYFUNCTION("""COMPUTED_VALUE"""),45135.0)</f>
        <v>45135</v>
      </c>
      <c r="C56" s="27" t="str">
        <f>IFERROR(__xludf.DUMMYFUNCTION("""COMPUTED_VALUE"""),"Silent Call: Daddy’s Girl Turns Into a Perv")</f>
        <v>Silent Call: Daddy’s Girl Turns Into a Perv</v>
      </c>
      <c r="D56" s="27" t="str">
        <f>IFERROR(__xludf.DUMMYFUNCTION("""COMPUTED_VALUE"""),"A story of a woman’s life as a secret perv, all thanks to her father. ")</f>
        <v>A story of a woman’s life as a secret perv, all thanks to her father. </v>
      </c>
      <c r="E56" s="27" t="str">
        <f>IFERROR(__xludf.DUMMYFUNCTION("""COMPUTED_VALUE"""),"Tags: accomplice, DDlg, corruption, noncon, training")</f>
        <v>Tags: accomplice, DDlg, corruption, noncon, training</v>
      </c>
    </row>
    <row r="57">
      <c r="A57" s="52">
        <f>IFERROR(__xludf.DUMMYFUNCTION("""COMPUTED_VALUE"""),375.0)</f>
        <v>375</v>
      </c>
      <c r="B57" s="51">
        <f>IFERROR(__xludf.DUMMYFUNCTION("""COMPUTED_VALUE"""),45153.0)</f>
        <v>45153</v>
      </c>
      <c r="C57" s="27" t="str">
        <f>IFERROR(__xludf.DUMMYFUNCTION("""COMPUTED_VALUE"""),"Silent Call: Daughter’s Confession")</f>
        <v>Silent Call: Daughter’s Confession</v>
      </c>
      <c r="D57" s="27" t="str">
        <f>IFERROR(__xludf.DUMMYFUNCTION("""COMPUTED_VALUE"""),"I am a woman that confesses the special love my father showed me years ago.")</f>
        <v>I am a woman that confesses the special love my father showed me years ago.</v>
      </c>
      <c r="E57" s="27" t="str">
        <f>IFERROR(__xludf.DUMMYFUNCTION("""COMPUTED_VALUE"""),"DDlg, incest, good girl turned slutty, confession")</f>
        <v>DDlg, incest, good girl turned slutty, confession</v>
      </c>
    </row>
    <row r="58">
      <c r="A58" s="52">
        <f>IFERROR(__xludf.DUMMYFUNCTION("""COMPUTED_VALUE"""),386.0)</f>
        <v>386</v>
      </c>
      <c r="B58" s="51">
        <f>IFERROR(__xludf.DUMMYFUNCTION("""COMPUTED_VALUE"""),45168.0)</f>
        <v>45168</v>
      </c>
      <c r="C58" s="27" t="str">
        <f>IFERROR(__xludf.DUMMYFUNCTION("""COMPUTED_VALUE"""),"Incest Mommy Daughter Convo")</f>
        <v>Incest Mommy Daughter Convo</v>
      </c>
      <c r="D58" s="27" t="str">
        <f>IFERROR(__xludf.DUMMYFUNCTION("""COMPUTED_VALUE"""),"I voice as a mother and daughter in this audio having a conversation on the phone about our incest family growth and future.")</f>
        <v>I voice as a mother and daughter in this audio having a conversation on the phone about our incest family growth and future.</v>
      </c>
      <c r="E58" s="27" t="str">
        <f>IFERROR(__xludf.DUMMYFUNCTION("""COMPUTED_VALUE"""),"incest, MDlb, DDlg, inbreeding")</f>
        <v>incest, MDlb, DDlg, inbreeding</v>
      </c>
    </row>
    <row r="59">
      <c r="A59" s="52">
        <f>IFERROR(__xludf.DUMMYFUNCTION("""COMPUTED_VALUE"""),387.0)</f>
        <v>387</v>
      </c>
      <c r="B59" s="51">
        <f>IFERROR(__xludf.DUMMYFUNCTION("""COMPUTED_VALUE"""),45168.0)</f>
        <v>45168</v>
      </c>
      <c r="C59" s="27" t="str">
        <f>IFERROR(__xludf.DUMMYFUNCTION("""COMPUTED_VALUE"""),"Improv: Cocktease Angel")</f>
        <v>Improv: Cocktease Angel</v>
      </c>
      <c r="D59" s="27" t="str">
        <f>IFERROR(__xludf.DUMMYFUNCTION("""COMPUTED_VALUE"""),"Pervert encouragement over a social media “influencer”")</f>
        <v>Pervert encouragement over a social media “influencer”</v>
      </c>
      <c r="E59" s="27" t="str">
        <f>IFERROR(__xludf.DUMMYFUNCTION("""COMPUTED_VALUE"""),"tik tok/YouTube/instagram becomes porn, DDlg, noncon, cocktease slut")</f>
        <v>tik tok/YouTube/instagram becomes porn, DDlg, noncon, cocktease slut</v>
      </c>
    </row>
    <row r="60">
      <c r="A60" s="52">
        <f>IFERROR(__xludf.DUMMYFUNCTION("""COMPUTED_VALUE"""),388.0)</f>
        <v>388</v>
      </c>
      <c r="B60" s="51">
        <f>IFERROR(__xludf.DUMMYFUNCTION("""COMPUTED_VALUE"""),45168.0)</f>
        <v>45168</v>
      </c>
      <c r="C60" s="27" t="str">
        <f>IFERROR(__xludf.DUMMYFUNCTION("""COMPUTED_VALUE"""),"Improv: A Mother’s Nightmare")</f>
        <v>Improv: A Mother’s Nightmare</v>
      </c>
      <c r="D60" s="27" t="str">
        <f>IFERROR(__xludf.DUMMYFUNCTION("""COMPUTED_VALUE"""),"In order to escape a war ridden country, a couple offers refuge by making a family perform a show on camera before they escape.")</f>
        <v>In order to escape a war ridden country, a couple offers refuge by making a family perform a show on camera before they escape.</v>
      </c>
      <c r="E60" s="27" t="str">
        <f>IFERROR(__xludf.DUMMYFUNCTION("""COMPUTED_VALUE"""),"confessional style, incest, forced incest, DDlg, MDlb, siblings")</f>
        <v>confessional style, incest, forced incest, DDlg, MDlb, siblings</v>
      </c>
    </row>
    <row r="61">
      <c r="A61" s="52">
        <f>IFERROR(__xludf.DUMMYFUNCTION("""COMPUTED_VALUE"""),390.0)</f>
        <v>390</v>
      </c>
      <c r="B61" s="51">
        <f>IFERROR(__xludf.DUMMYFUNCTION("""COMPUTED_VALUE"""),45171.0)</f>
        <v>45171</v>
      </c>
      <c r="C61" s="27" t="str">
        <f>IFERROR(__xludf.DUMMYFUNCTION("""COMPUTED_VALUE"""),"Silent Call: Girlfriend Corruption")</f>
        <v>Silent Call: Girlfriend Corruption</v>
      </c>
      <c r="D61" s="27" t="str">
        <f>IFERROR(__xludf.DUMMYFUNCTION("""COMPUTED_VALUE"""),"I get fucked up and obsessed with dark stuff and seek out a boyfriend to dig my claws into to satisfy my needs.")</f>
        <v>I get fucked up and obsessed with dark stuff and seek out a boyfriend to dig my claws into to satisfy my needs.</v>
      </c>
      <c r="E61" s="27" t="str">
        <f>IFERROR(__xludf.DUMMYFUNCTION("""COMPUTED_VALUE"""),"corruption, noncon, DDlg, confessional style, accomplice")</f>
        <v>corruption, noncon, DDlg, confessional style, accomplice</v>
      </c>
    </row>
    <row r="62">
      <c r="A62" s="52">
        <f>IFERROR(__xludf.DUMMYFUNCTION("""COMPUTED_VALUE"""),394.0)</f>
        <v>394</v>
      </c>
      <c r="B62" s="51">
        <f>IFERROR(__xludf.DUMMYFUNCTION("""COMPUTED_VALUE"""),45178.0)</f>
        <v>45178</v>
      </c>
      <c r="C62" s="27" t="str">
        <f>IFERROR(__xludf.DUMMYFUNCTION("""COMPUTED_VALUE"""),"Improv: Intoxicating Slumber Party")</f>
        <v>Improv: Intoxicating Slumber Party</v>
      </c>
      <c r="D62" s="27" t="str">
        <f>IFERROR(__xludf.DUMMYFUNCTION("""COMPUTED_VALUE"""),"I set up a perfect night for you with daughter and friends.")</f>
        <v>I set up a perfect night for you with daughter and friends.</v>
      </c>
      <c r="E62" s="27" t="str">
        <f>IFERROR(__xludf.DUMMYFUNCTION("""COMPUTED_VALUE"""),"accomplice, intoxication, light scat play, rimming, smelly sweaty holes, breeding, DDlg")</f>
        <v>accomplice, intoxication, light scat play, rimming, smelly sweaty holes, breeding, DDlg</v>
      </c>
    </row>
    <row r="63">
      <c r="A63" s="52">
        <f>IFERROR(__xludf.DUMMYFUNCTION("""COMPUTED_VALUE"""),399.0)</f>
        <v>399</v>
      </c>
      <c r="B63" s="51">
        <f>IFERROR(__xludf.DUMMYFUNCTION("""COMPUTED_VALUE"""),45182.0)</f>
        <v>45182</v>
      </c>
      <c r="C63" s="27" t="str">
        <f>IFERROR(__xludf.DUMMYFUNCTION("""COMPUTED_VALUE"""),"Custom: A Father’s Proposition")</f>
        <v>Custom: A Father’s Proposition</v>
      </c>
      <c r="D63" s="27" t="str">
        <f>IFERROR(__xludf.DUMMYFUNCTION("""COMPUTED_VALUE"""),"I’m a bank manager. The listener is a single father who’s behind on his mortgage payments. I offer him a way to get out of his financial struggle that will benefit me as he has the perfect fuck toy.")</f>
        <v>I’m a bank manager. The listener is a single father who’s behind on his mortgage payments. I offer him a way to get out of his financial struggle that will benefit me as he has the perfect fuck toy.</v>
      </c>
      <c r="E63" s="27" t="str">
        <f>IFERROR(__xludf.DUMMYFUNCTION("""COMPUTED_VALUE"""),"perv woman, lesbian perv, aggressive milf, DDlg, forced incest, sadism, slapping, bj sfx, squirting, face sitting, spitting, anal, facial, ass to mouth")</f>
        <v>perv woman, lesbian perv, aggressive milf, DDlg, forced incest, sadism, slapping, bj sfx, squirting, face sitting, spitting, anal, facial, ass to mouth</v>
      </c>
    </row>
    <row r="64">
      <c r="A64" s="52">
        <f>IFERROR(__xludf.DUMMYFUNCTION("""COMPUTED_VALUE"""),404.0)</f>
        <v>404</v>
      </c>
      <c r="B64" s="51">
        <f>IFERROR(__xludf.DUMMYFUNCTION("""COMPUTED_VALUE"""),45191.0)</f>
        <v>45191</v>
      </c>
      <c r="C64" s="27" t="str">
        <f>IFERROR(__xludf.DUMMYFUNCTION("""COMPUTED_VALUE"""),"Daughter Corrupts Daddy")</f>
        <v>Daughter Corrupts Daddy</v>
      </c>
      <c r="D64" s="27" t="str">
        <f>IFERROR(__xludf.DUMMYFUNCTION("""COMPUTED_VALUE"""),"I confess how I corrupted my father into what I had always wished he was.")</f>
        <v>I confess how I corrupted my father into what I had always wished he was.</v>
      </c>
      <c r="E64" s="27" t="str">
        <f>IFERROR(__xludf.DUMMYFUNCTION("""COMPUTED_VALUE"""),"accomplice, DDlg, corruption, confessional")</f>
        <v>accomplice, DDlg, corruption, confessional</v>
      </c>
    </row>
    <row r="65">
      <c r="A65" s="52">
        <f>IFERROR(__xludf.DUMMYFUNCTION("""COMPUTED_VALUE"""),418.0)</f>
        <v>418</v>
      </c>
      <c r="B65" s="51">
        <f>IFERROR(__xludf.DUMMYFUNCTION("""COMPUTED_VALUE"""),45206.0)</f>
        <v>45206</v>
      </c>
      <c r="C65" s="27" t="str">
        <f>IFERROR(__xludf.DUMMYFUNCTION("""COMPUTED_VALUE"""),"Improv: Webcam Incest Whore")</f>
        <v>Improv: Webcam Incest Whore</v>
      </c>
      <c r="D65" s="27" t="str">
        <f>IFERROR(__xludf.DUMMYFUNCTION("""COMPUTED_VALUE"""),"A woman ends up accepting cash payment for doing forbidden incest acts on camera.")</f>
        <v>A woman ends up accepting cash payment for doing forbidden incest acts on camera.</v>
      </c>
      <c r="E65" s="27" t="str">
        <f>IFERROR(__xludf.DUMMYFUNCTION("""COMPUTED_VALUE"""),"incest, MDlb, DDlg, group sex, bad mom")</f>
        <v>incest, MDlb, DDlg, group sex, bad mom</v>
      </c>
    </row>
    <row r="66">
      <c r="A66" s="52">
        <f>IFERROR(__xludf.DUMMYFUNCTION("""COMPUTED_VALUE"""),425.0)</f>
        <v>425</v>
      </c>
      <c r="B66" s="51">
        <f>IFERROR(__xludf.DUMMYFUNCTION("""COMPUTED_VALUE"""),45212.0)</f>
        <v>45212</v>
      </c>
      <c r="C66" s="27" t="str">
        <f>IFERROR(__xludf.DUMMYFUNCTION("""COMPUTED_VALUE"""),"Silent Call: Uncle Turns Daddy")</f>
        <v>Silent Call: Uncle Turns Daddy</v>
      </c>
      <c r="D66" s="27" t="str">
        <f>IFERROR(__xludf.DUMMYFUNCTION("""COMPUTED_VALUE"""),"An uncle finds himself a father to his niece and struggles with containing his secret desires.")</f>
        <v>An uncle finds himself a father to his niece and struggles with containing his secret desires.</v>
      </c>
      <c r="E66" s="27" t="str">
        <f>IFERROR(__xludf.DUMMYFUNCTION("""COMPUTED_VALUE"""),"DDlg, tormented, narration, noncon")</f>
        <v>DDlg, tormented, narration, noncon</v>
      </c>
    </row>
    <row r="67">
      <c r="A67" s="52">
        <f>IFERROR(__xludf.DUMMYFUNCTION("""COMPUTED_VALUE"""),441.0)</f>
        <v>441</v>
      </c>
      <c r="B67" s="51">
        <f>IFERROR(__xludf.DUMMYFUNCTION("""COMPUTED_VALUE"""),45231.0)</f>
        <v>45231</v>
      </c>
      <c r="C67" s="27" t="str">
        <f>IFERROR(__xludf.DUMMYFUNCTION("""COMPUTED_VALUE"""),"Custom: Daddy's Bride")</f>
        <v>Custom: Daddy's Bride</v>
      </c>
      <c r="D67" s="27" t="str">
        <f>IFERROR(__xludf.DUMMYFUNCTION("""COMPUTED_VALUE"""),"Daddy marries his daughter with Mommy's encouragement and cements their bond with  breeding on their honeymoon.")</f>
        <v>Daddy marries his daughter with Mommy's encouragement and cements their bond with  breeding on their honeymoon.</v>
      </c>
      <c r="E67" s="27" t="str">
        <f>IFERROR(__xludf.DUMMYFUNCTION("""COMPUTED_VALUE"""),"DDlg, accomplice, breeding, incest")</f>
        <v>DDlg, accomplice, breeding, incest</v>
      </c>
    </row>
    <row r="68">
      <c r="A68" s="52">
        <f>IFERROR(__xludf.DUMMYFUNCTION("""COMPUTED_VALUE"""),463.0)</f>
        <v>463</v>
      </c>
      <c r="B68" s="51">
        <f>IFERROR(__xludf.DUMMYFUNCTION("""COMPUTED_VALUE"""),45252.0)</f>
        <v>45252</v>
      </c>
      <c r="C68" s="27" t="str">
        <f>IFERROR(__xludf.DUMMYFUNCTION("""COMPUTED_VALUE"""),"Improv: Public Perving")</f>
        <v>Improv: Public Perving</v>
      </c>
      <c r="D68" s="27" t="str">
        <f>IFERROR(__xludf.DUMMYFUNCTION("""COMPUTED_VALUE"""),"Me and you are sitting inside of mall, people watching, while I set up naughty, depraved scenarios to tease and arouse you. ")</f>
        <v>Me and you are sitting inside of mall, people watching, while I set up naughty, depraved scenarios to tease and arouse you. </v>
      </c>
      <c r="E68" s="27" t="str">
        <f>IFERROR(__xludf.DUMMYFUNCTION("""COMPUTED_VALUE"""),"public handjob, incest, DDlg, MDlb")</f>
        <v>public handjob, incest, DDlg, MDlb</v>
      </c>
    </row>
    <row r="69">
      <c r="A69" s="52">
        <f>IFERROR(__xludf.DUMMYFUNCTION("""COMPUTED_VALUE"""),464.0)</f>
        <v>464</v>
      </c>
      <c r="B69" s="51">
        <f>IFERROR(__xludf.DUMMYFUNCTION("""COMPUTED_VALUE"""),45252.0)</f>
        <v>45252</v>
      </c>
      <c r="C69" s="27" t="str">
        <f>IFERROR(__xludf.DUMMYFUNCTION("""COMPUTED_VALUE"""),"Custom: DDlg Pee &amp; Play")</f>
        <v>Custom: DDlg Pee &amp; Play</v>
      </c>
      <c r="D69" s="27" t="str">
        <f>IFERROR(__xludf.DUMMYFUNCTION("""COMPUTED_VALUE"""),"A daughter gets curious while sleeping in Daddy’s bed with her sister which leads to Daddy enjoying his daughters for the first time. ")</f>
        <v>A daughter gets curious while sleeping in Daddy’s bed with her sister which leads to Daddy enjoying his daughters for the first time. </v>
      </c>
      <c r="E69" s="27" t="str">
        <f>IFERROR(__xludf.DUMMYFUNCTION("""COMPUTED_VALUE"""),"DDlg, consensual, oral, anal, watersports")</f>
        <v>DDlg, consensual, oral, anal, watersports</v>
      </c>
    </row>
    <row r="70">
      <c r="A70" s="52">
        <f>IFERROR(__xludf.DUMMYFUNCTION("""COMPUTED_VALUE"""),465.0)</f>
        <v>465</v>
      </c>
      <c r="B70" s="51">
        <f>IFERROR(__xludf.DUMMYFUNCTION("""COMPUTED_VALUE"""),45253.0)</f>
        <v>45253</v>
      </c>
      <c r="C70" s="27" t="str">
        <f>IFERROR(__xludf.DUMMYFUNCTION("""COMPUTED_VALUE"""),"Improv: Suck Em Fuck Em Twins Pt 2")</f>
        <v>Improv: Suck Em Fuck Em Twins Pt 2</v>
      </c>
      <c r="D70" s="27" t="str">
        <f>IFERROR(__xludf.DUMMYFUNCTION("""COMPUTED_VALUE"""),"The twins grow up and our two male characters are still in their life. ")</f>
        <v>The twins grow up and our two male characters are still in their life. </v>
      </c>
      <c r="E70" s="27" t="str">
        <f>IFERROR(__xludf.DUMMYFUNCTION("""COMPUTED_VALUE"""),"DDlg, corruption, group sex, accomplice")</f>
        <v>DDlg, corruption, group sex, accomplice</v>
      </c>
    </row>
    <row r="71">
      <c r="A71" s="52">
        <f>IFERROR(__xludf.DUMMYFUNCTION("""COMPUTED_VALUE"""),470.0)</f>
        <v>470</v>
      </c>
      <c r="B71" s="51">
        <f>IFERROR(__xludf.DUMMYFUNCTION("""COMPUTED_VALUE"""),45626.0)</f>
        <v>45626</v>
      </c>
      <c r="C71" s="27" t="str">
        <f>IFERROR(__xludf.DUMMYFUNCTION("""COMPUTED_VALUE""")," Improv: DDlg Brothel Request")</f>
        <v> Improv: DDlg Brothel Request</v>
      </c>
      <c r="D71" s="27" t="str">
        <f>IFERROR(__xludf.DUMMYFUNCTION("""COMPUTED_VALUE"""),"You request a special request through Madame Bea’s Dollhouse brothel. ")</f>
        <v>You request a special request through Madame Bea’s Dollhouse brothel. </v>
      </c>
      <c r="E71" s="27" t="str">
        <f>IFERROR(__xludf.DUMMYFUNCTION("""COMPUTED_VALUE"""),"incest, DDlg, breeding")</f>
        <v>incest, DDlg, breeding</v>
      </c>
    </row>
    <row r="72">
      <c r="A72" s="52">
        <f>IFERROR(__xludf.DUMMYFUNCTION("""COMPUTED_VALUE"""),471.0)</f>
        <v>471</v>
      </c>
      <c r="B72" s="51">
        <f>IFERROR(__xludf.DUMMYFUNCTION("""COMPUTED_VALUE"""),45630.0)</f>
        <v>45630</v>
      </c>
      <c r="C72" s="27" t="str">
        <f>IFERROR(__xludf.DUMMYFUNCTION("""COMPUTED_VALUE"""),"Custom: PMC Overload")</f>
        <v>Custom: PMC Overload</v>
      </c>
      <c r="D72" s="27" t="str">
        <f>IFERROR(__xludf.DUMMYFUNCTION("""COMPUTED_VALUE"""),"Dr Beatrix is back and is settled into her program for sexual deviants. One of my patients ends up having a dangerous overload, spewing spunk everywhere, overloaded with pleasure and mindfucks. I enter his mind and work out the kinks. ")</f>
        <v>Dr Beatrix is back and is settled into her program for sexual deviants. One of my patients ends up having a dangerous overload, spewing spunk everywhere, overloaded with pleasure and mindfucks. I enter his mind and work out the kinks. </v>
      </c>
      <c r="E72" s="27" t="str">
        <f>IFERROR(__xludf.DUMMYFUNCTION("""COMPUTED_VALUE"""),"hypnotic, incest, DDlg, breeding, mindfuck, sfx")</f>
        <v>hypnotic, incest, DDlg, breeding, mindfuck, sfx</v>
      </c>
    </row>
    <row r="73">
      <c r="A73" s="52">
        <f>IFERROR(__xludf.DUMMYFUNCTION("""COMPUTED_VALUE"""),479.0)</f>
        <v>479</v>
      </c>
      <c r="B73" s="51">
        <f>IFERROR(__xludf.DUMMYFUNCTION("""COMPUTED_VALUE"""),45642.0)</f>
        <v>45642</v>
      </c>
      <c r="C73" s="27" t="str">
        <f>IFERROR(__xludf.DUMMYFUNCTION("""COMPUTED_VALUE"""),"Script Fill: Most Shocking Find")</f>
        <v>Script Fill: Most Shocking Find</v>
      </c>
      <c r="D73" s="27" t="str">
        <f>IFERROR(__xludf.DUMMYFUNCTION("""COMPUTED_VALUE"""),"The listener is invited over as I reveal the secret journals of my own father. ")</f>
        <v>The listener is invited over as I reveal the secret journals of my own father. </v>
      </c>
      <c r="E73" s="27" t="str">
        <f>IFERROR(__xludf.DUMMYFUNCTION("""COMPUTED_VALUE"""),"DDlg, incest")</f>
        <v>DDlg, incest</v>
      </c>
    </row>
    <row r="74">
      <c r="A74" s="52">
        <f>IFERROR(__xludf.DUMMYFUNCTION("""COMPUTED_VALUE"""),486.0)</f>
        <v>486</v>
      </c>
      <c r="B74" s="51">
        <f>IFERROR(__xludf.DUMMYFUNCTION("""COMPUTED_VALUE"""),45647.0)</f>
        <v>45647</v>
      </c>
      <c r="C74" s="27" t="str">
        <f>IFERROR(__xludf.DUMMYFUNCTION("""COMPUTED_VALUE"""),"Improv: Daughter Lessons")</f>
        <v>Improv: Daughter Lessons</v>
      </c>
      <c r="D74" s="27" t="str">
        <f>IFERROR(__xludf.DUMMYFUNCTION("""COMPUTED_VALUE"""),"Your accomplice’s homeschool lessons for your daughters.")</f>
        <v>Your accomplice’s homeschool lessons for your daughters.</v>
      </c>
      <c r="E74" s="27" t="str">
        <f>IFERROR(__xludf.DUMMYFUNCTION("""COMPUTED_VALUE"""),"DDlg, accomplice, incest, inbreeding")</f>
        <v>DDlg, accomplice, incest, inbreeding</v>
      </c>
    </row>
    <row r="75">
      <c r="A75" s="52">
        <f>IFERROR(__xludf.DUMMYFUNCTION("""COMPUTED_VALUE"""),487.0)</f>
        <v>487</v>
      </c>
      <c r="B75" s="51">
        <f>IFERROR(__xludf.DUMMYFUNCTION("""COMPUTED_VALUE"""),45649.0)</f>
        <v>45649</v>
      </c>
      <c r="C75" s="27" t="str">
        <f>IFERROR(__xludf.DUMMYFUNCTION("""COMPUTED_VALUE"""),"Custom: Slut Therapy")</f>
        <v>Custom: Slut Therapy</v>
      </c>
      <c r="D75" s="27" t="str">
        <f>IFERROR(__xludf.DUMMYFUNCTION("""COMPUTED_VALUE"""),"I’m a nympho cutie and my parents are making me see a therapist. In exchange for good progress report, I offer my therapist my body. ")</f>
        <v>I’m a nympho cutie and my parents are making me see a therapist. In exchange for good progress report, I offer my therapist my body. </v>
      </c>
      <c r="E75" s="27" t="str">
        <f>IFERROR(__xludf.DUMMYFUNCTION("""COMPUTED_VALUE"""),"seduction, slut, DDlg, creampie, oral sfx")</f>
        <v>seduction, slut, DDlg, creampie, oral sfx</v>
      </c>
    </row>
    <row r="76">
      <c r="A76" s="52">
        <f>IFERROR(__xludf.DUMMYFUNCTION("""COMPUTED_VALUE"""),492.0)</f>
        <v>492</v>
      </c>
      <c r="B76" s="51">
        <f>IFERROR(__xludf.DUMMYFUNCTION("""COMPUTED_VALUE"""),45655.0)</f>
        <v>45655</v>
      </c>
      <c r="C76" s="27" t="str">
        <f>IFERROR(__xludf.DUMMYFUNCTION("""COMPUTED_VALUE"""),"Custom: Magical Miss Vale Incest Show")</f>
        <v>Custom: Magical Miss Vale Incest Show</v>
      </c>
      <c r="D76" s="27" t="str">
        <f>IFERROR(__xludf.DUMMYFUNCTION("""COMPUTED_VALUE"""),"I am magic sorceress and a father comes across my tent while visiting a carnival. I reveal his truest desire and make it come alive in a magical realm. ")</f>
        <v>I am magic sorceress and a father comes across my tent while visiting a carnival. I reveal his truest desire and make it come alive in a magical realm. </v>
      </c>
      <c r="E76" s="27" t="str">
        <f>IFERROR(__xludf.DUMMYFUNCTION("""COMPUTED_VALUE"""),"DDlg, magic, sfx, incest, breeding, cum countdown")</f>
        <v>DDlg, magic, sfx, incest, breeding, cum countdown</v>
      </c>
    </row>
    <row r="77">
      <c r="A77" s="52">
        <f>IFERROR(__xludf.DUMMYFUNCTION("""COMPUTED_VALUE"""),505.0)</f>
        <v>505</v>
      </c>
      <c r="B77" s="51">
        <f>IFERROR(__xludf.DUMMYFUNCTION("""COMPUTED_VALUE"""),45300.0)</f>
        <v>45300</v>
      </c>
      <c r="C77" s="27" t="str">
        <f>IFERROR(__xludf.DUMMYFUNCTION("""COMPUTED_VALUE""")," Improv: Prostitute’s Trauma Pt 2")</f>
        <v> Improv: Prostitute’s Trauma Pt 2</v>
      </c>
      <c r="D77" s="27" t="str">
        <f>IFERROR(__xludf.DUMMYFUNCTION("""COMPUTED_VALUE"""),"Prostitute mommy has to make a choice whenever her daughter comes into the room.  ")</f>
        <v>Prostitute mommy has to make a choice whenever her daughter comes into the room.  </v>
      </c>
      <c r="E77" s="27" t="str">
        <f>IFERROR(__xludf.DUMMYFUNCTION("""COMPUTED_VALUE"""),"noncon, DDlg, forced incest, creampie cleanup")</f>
        <v>noncon, DDlg, forced incest, creampie cleanup</v>
      </c>
    </row>
    <row r="78">
      <c r="A78" s="52">
        <f>IFERROR(__xludf.DUMMYFUNCTION("""COMPUTED_VALUE"""),513.0)</f>
        <v>513</v>
      </c>
      <c r="B78" s="51">
        <f>IFERROR(__xludf.DUMMYFUNCTION("""COMPUTED_VALUE"""),45314.0)</f>
        <v>45314</v>
      </c>
      <c r="C78" s="27" t="str">
        <f>IFERROR(__xludf.DUMMYFUNCTION("""COMPUTED_VALUE""")," Improv: DDlg Blackmail Accomplice")</f>
        <v> Improv: DDlg Blackmail Accomplice</v>
      </c>
      <c r="D78" s="27" t="str">
        <f>IFERROR(__xludf.DUMMYFUNCTION("""COMPUTED_VALUE""")," I’m so into real DDlg that I blackmail you into crossing the line. ")</f>
        <v> I’m so into real DDlg that I blackmail you into crossing the line. </v>
      </c>
      <c r="E78" s="27" t="str">
        <f>IFERROR(__xludf.DUMMYFUNCTION("""COMPUTED_VALUE"""),"ddlg, accomplice, blackmail, panties")</f>
        <v>ddlg, accomplice, blackmail, panties</v>
      </c>
    </row>
    <row r="79">
      <c r="A79" s="52">
        <f>IFERROR(__xludf.DUMMYFUNCTION("""COMPUTED_VALUE"""),516.0)</f>
        <v>516</v>
      </c>
      <c r="B79" s="51">
        <f>IFERROR(__xludf.DUMMYFUNCTION("""COMPUTED_VALUE"""),45317.0)</f>
        <v>45317</v>
      </c>
      <c r="C79" s="27" t="str">
        <f>IFERROR(__xludf.DUMMYFUNCTION("""COMPUTED_VALUE""")," Silent Call: Perverted Teacher Experience")</f>
        <v> Silent Call: Perverted Teacher Experience</v>
      </c>
      <c r="D79" s="27" t="str">
        <f>IFERROR(__xludf.DUMMYFUNCTION("""COMPUTED_VALUE""")," You’re dating me, a teacher, and I bring out the perverted side of you. ")</f>
        <v> You’re dating me, a teacher, and I bring out the perverted side of you. </v>
      </c>
      <c r="E79" s="27" t="str">
        <f>IFERROR(__xludf.DUMMYFUNCTION("""COMPUTED_VALUE"""),"accomplice, DDlg, pervert encouragement")</f>
        <v>accomplice, DDlg, pervert encouragement</v>
      </c>
    </row>
    <row r="80">
      <c r="A80" s="52">
        <f>IFERROR(__xludf.DUMMYFUNCTION("""COMPUTED_VALUE"""),519.0)</f>
        <v>519</v>
      </c>
      <c r="B80" s="51">
        <f>IFERROR(__xludf.DUMMYFUNCTION("""COMPUTED_VALUE"""),45320.0)</f>
        <v>45320</v>
      </c>
      <c r="C80" s="27" t="str">
        <f>IFERROR(__xludf.DUMMYFUNCTION("""COMPUTED_VALUE"""),"Improv: DDlg Pervert Sympathy")</f>
        <v>Improv: DDlg Pervert Sympathy</v>
      </c>
      <c r="D80" s="27" t="str">
        <f>IFERROR(__xludf.DUMMYFUNCTION("""COMPUTED_VALUE"""),"Another pervert affirmation file with added visualizations ")</f>
        <v>Another pervert affirmation file with added visualizations </v>
      </c>
      <c r="E80" s="27" t="str">
        <f>IFERROR(__xludf.DUMMYFUNCTION("""COMPUTED_VALUE"""),"DDlg, pervert encouragement, incest")</f>
        <v>DDlg, pervert encouragement, incest</v>
      </c>
    </row>
    <row r="81">
      <c r="A81" s="52">
        <f>IFERROR(__xludf.DUMMYFUNCTION("""COMPUTED_VALUE"""),520.0)</f>
        <v>520</v>
      </c>
      <c r="B81" s="51">
        <f>IFERROR(__xludf.DUMMYFUNCTION("""COMPUTED_VALUE"""),45324.0)</f>
        <v>45324</v>
      </c>
      <c r="C81" s="27" t="str">
        <f>IFERROR(__xludf.DUMMYFUNCTION("""COMPUTED_VALUE"""),"Improv: Daddy &amp; Accomplice Princess Party")</f>
        <v>Improv: Daddy &amp; Accomplice Princess Party</v>
      </c>
      <c r="D81" s="27" t="str">
        <f>IFERROR(__xludf.DUMMYFUNCTION("""COMPUTED_VALUE"""),"I am your accomplice and we’re having a night of debauchery with my horny encouragement. ")</f>
        <v>I am your accomplice and we’re having a night of debauchery with my horny encouragement. </v>
      </c>
      <c r="E81" s="27" t="str">
        <f>IFERROR(__xludf.DUMMYFUNCTION("""COMPUTED_VALUE"""),"DDlg, pervert encouragement, noncon, panties, strap on tag team")</f>
        <v>DDlg, pervert encouragement, noncon, panties, strap on tag team</v>
      </c>
    </row>
    <row r="82">
      <c r="A82" s="52">
        <f>IFERROR(__xludf.DUMMYFUNCTION("""COMPUTED_VALUE"""),529.0)</f>
        <v>529</v>
      </c>
      <c r="B82" s="51">
        <f>IFERROR(__xludf.DUMMYFUNCTION("""COMPUTED_VALUE"""),45335.0)</f>
        <v>45335</v>
      </c>
      <c r="C82" s="27" t="str">
        <f>IFERROR(__xludf.DUMMYFUNCTION("""COMPUTED_VALUE"""),"Improv: Sister Accomplice")</f>
        <v>Improv: Sister Accomplice</v>
      </c>
      <c r="D82" s="27" t="str">
        <f>IFERROR(__xludf.DUMMYFUNCTION("""COMPUTED_VALUE"""),"I catch you spying on my daughter, your niece, and encourage not only using her, but forcibly encourage your own daughter, my niece, as well. ")</f>
        <v>I catch you spying on my daughter, your niece, and encourage not only using her, but forcibly encourage your own daughter, my niece, as well. </v>
      </c>
      <c r="E82" s="27" t="str">
        <f>IFERROR(__xludf.DUMMYFUNCTION("""COMPUTED_VALUE"""),"ccomplice, incest, lesbian incest, DDlg, blackmail")</f>
        <v>ccomplice, incest, lesbian incest, DDlg, blackmail</v>
      </c>
    </row>
    <row r="83">
      <c r="A83" s="52">
        <f>IFERROR(__xludf.DUMMYFUNCTION("""COMPUTED_VALUE"""),530.0)</f>
        <v>530</v>
      </c>
      <c r="B83" s="51">
        <f>IFERROR(__xludf.DUMMYFUNCTION("""COMPUTED_VALUE"""),45335.0)</f>
        <v>45335</v>
      </c>
      <c r="C83" s="27" t="str">
        <f>IFERROR(__xludf.DUMMYFUNCTION("""COMPUTED_VALUE"""),"Silent Call: New Daddy Depravity")</f>
        <v>Silent Call: New Daddy Depravity</v>
      </c>
      <c r="D83" s="27" t="str">
        <f>IFERROR(__xludf.DUMMYFUNCTION("""COMPUTED_VALUE"""),"Your sister dumped her daughter on you. You become her new Daddy and end up succumbing to your ultimate lust. ")</f>
        <v>Your sister dumped her daughter on you. You become her new Daddy and end up succumbing to your ultimate lust. </v>
      </c>
      <c r="E83" s="27" t="str">
        <f>IFERROR(__xludf.DUMMYFUNCTION("""COMPUTED_VALUE"""),"DDlg, noncon")</f>
        <v>DDlg, noncon</v>
      </c>
    </row>
    <row r="84">
      <c r="A84" s="52">
        <f>IFERROR(__xludf.DUMMYFUNCTION("""COMPUTED_VALUE"""),537.0)</f>
        <v>537</v>
      </c>
      <c r="B84" s="51">
        <f>IFERROR(__xludf.DUMMYFUNCTION("""COMPUTED_VALUE"""),45350.0)</f>
        <v>45350</v>
      </c>
      <c r="C84" s="27" t="str">
        <f>IFERROR(__xludf.DUMMYFUNCTION("""COMPUTED_VALUE"""),"Improv: Family Business")</f>
        <v>Improv: Family Business</v>
      </c>
      <c r="D84" s="27" t="str">
        <f>IFERROR(__xludf.DUMMYFUNCTION("""COMPUTED_VALUE"""),"I role-play as a mother to a family that does wild live streams in sneaky public places.")</f>
        <v>I role-play as a mother to a family that does wild live streams in sneaky public places.</v>
      </c>
      <c r="E84" s="27" t="str">
        <f>IFERROR(__xludf.DUMMYFUNCTION("""COMPUTED_VALUE"""),"incest, public sex, MDlb, MDlg, DDlg, DDlb, beast")</f>
        <v>incest, public sex, MDlb, MDlg, DDlg, DDlb, beast</v>
      </c>
    </row>
    <row r="85">
      <c r="A85" s="52">
        <f>IFERROR(__xludf.DUMMYFUNCTION("""COMPUTED_VALUE"""),541.0)</f>
        <v>541</v>
      </c>
      <c r="B85" s="51">
        <f>IFERROR(__xludf.DUMMYFUNCTION("""COMPUTED_VALUE"""),45355.0)</f>
        <v>45355</v>
      </c>
      <c r="C85" s="27" t="str">
        <f>IFERROR(__xludf.DUMMYFUNCTION("""COMPUTED_VALUE"""),"Improv: DDlg Blowjob Special")</f>
        <v>Improv: DDlg Blowjob Special</v>
      </c>
      <c r="D85" s="27" t="str">
        <f>IFERROR(__xludf.DUMMYFUNCTION("""COMPUTED_VALUE"""),"A father takes advantage of his daughter’s long tongue and skills. ")</f>
        <v>A father takes advantage of his daughter’s long tongue and skills. </v>
      </c>
      <c r="E85" s="27" t="str">
        <f>IFERROR(__xludf.DUMMYFUNCTION("""COMPUTED_VALUE"""),"DDlg, oral, facial")</f>
        <v>DDlg, oral, facial</v>
      </c>
    </row>
    <row r="86">
      <c r="A86" s="52">
        <f>IFERROR(__xludf.DUMMYFUNCTION("""COMPUTED_VALUE"""),549.0)</f>
        <v>549</v>
      </c>
      <c r="B86" s="51">
        <f>IFERROR(__xludf.DUMMYFUNCTION("""COMPUTED_VALUE"""),45364.0)</f>
        <v>45364</v>
      </c>
      <c r="C86" s="27" t="str">
        <f>IFERROR(__xludf.DUMMYFUNCTION("""COMPUTED_VALUE"""),"Improv: Twin Extremes")</f>
        <v>Improv: Twin Extremes</v>
      </c>
      <c r="D86" s="27" t="str">
        <f>IFERROR(__xludf.DUMMYFUNCTION("""COMPUTED_VALUE"""),"We’re parents to twins and one is our sweet princess while the other one is treated like an object. ")</f>
        <v>We’re parents to twins and one is our sweet princess while the other one is treated like an object. </v>
      </c>
      <c r="E86" s="27" t="str">
        <f>IFERROR(__xludf.DUMMYFUNCTION("""COMPUTED_VALUE"""),"MDlg, DDlg, incest, mean &amp; sweet mommy")</f>
        <v>MDlg, DDlg, incest, mean &amp; sweet mommy</v>
      </c>
    </row>
    <row r="87">
      <c r="A87" s="52">
        <f>IFERROR(__xludf.DUMMYFUNCTION("""COMPUTED_VALUE"""),558.0)</f>
        <v>558</v>
      </c>
      <c r="B87" s="51">
        <f>IFERROR(__xludf.DUMMYFUNCTION("""COMPUTED_VALUE"""),45369.0)</f>
        <v>45369</v>
      </c>
      <c r="C87" s="27" t="str">
        <f>IFERROR(__xludf.DUMMYFUNCTION("""COMPUTED_VALUE"""),"Silent Call: Corrupted Mother")</f>
        <v>Silent Call: Corrupted Mother</v>
      </c>
      <c r="D87" s="27" t="str">
        <f>IFERROR(__xludf.DUMMYFUNCTION("""COMPUTED_VALUE"""),"Two for one story. A mother dives into an incestuous relationship which then leads to another story about another mother that was used for their pleasure. ")</f>
        <v>Two for one story. A mother dives into an incestuous relationship which then leads to another story about another mother that was used for their pleasure. </v>
      </c>
      <c r="E87" s="27" t="str">
        <f>IFERROR(__xludf.DUMMYFUNCTION("""COMPUTED_VALUE"""),"MDlb, DDlg, incest, accomplice")</f>
        <v>MDlb, DDlg, incest, accomplice</v>
      </c>
    </row>
    <row r="88">
      <c r="A88" s="52">
        <f>IFERROR(__xludf.DUMMYFUNCTION("""COMPUTED_VALUE"""),562.0)</f>
        <v>562</v>
      </c>
      <c r="B88" s="51">
        <f>IFERROR(__xludf.DUMMYFUNCTION("""COMPUTED_VALUE"""),45372.0)</f>
        <v>45372</v>
      </c>
      <c r="C88" s="27" t="str">
        <f>IFERROR(__xludf.DUMMYFUNCTION("""COMPUTED_VALUE"""),"Improv: Family of the Year")</f>
        <v>Improv: Family of the Year</v>
      </c>
      <c r="D88" s="27" t="str">
        <f>IFERROR(__xludf.DUMMYFUNCTION("""COMPUTED_VALUE"""),"I’m the mother of a huge family and being interviewed while a family orgy is taking place. ")</f>
        <v>I’m the mother of a huge family and being interviewed while a family orgy is taking place. </v>
      </c>
      <c r="E88" s="27" t="str">
        <f>IFERROR(__xludf.DUMMYFUNCTION("""COMPUTED_VALUE"""),"incest, bi encouragement, intox, incest, DDlg, DDlb, MDlb, MDlg, siblings, fisting, double penetration")</f>
        <v>incest, bi encouragement, intox, incest, DDlg, DDlb, MDlb, MDlg, siblings, fisting, double penetration</v>
      </c>
    </row>
    <row r="89">
      <c r="A89" s="52">
        <f>IFERROR(__xludf.DUMMYFUNCTION("""COMPUTED_VALUE"""),564.0)</f>
        <v>564</v>
      </c>
      <c r="B89" s="51">
        <f>IFERROR(__xludf.DUMMYFUNCTION("""COMPUTED_VALUE"""),45373.0)</f>
        <v>45373</v>
      </c>
      <c r="C89" s="27" t="str">
        <f>IFERROR(__xludf.DUMMYFUNCTION("""COMPUTED_VALUE"""),"Improv: Public Daddy Dare")</f>
        <v>Improv: Public Daddy Dare</v>
      </c>
      <c r="D89" s="27" t="str">
        <f>IFERROR(__xludf.DUMMYFUNCTION("""COMPUTED_VALUE"""),"A dare a step father to get so turned on during a sports event that he has to run to the bathroom to pump one out. ")</f>
        <v>A dare a step father to get so turned on during a sports event that he has to run to the bathroom to pump one out. </v>
      </c>
      <c r="E89" s="27" t="str">
        <f>IFERROR(__xludf.DUMMYFUNCTION("""COMPUTED_VALUE"""),"DDlg, accomplice, public play")</f>
        <v>DDlg, accomplice, public play</v>
      </c>
    </row>
    <row r="90">
      <c r="A90" s="52">
        <f>IFERROR(__xludf.DUMMYFUNCTION("""COMPUTED_VALUE"""),565.0)</f>
        <v>565</v>
      </c>
      <c r="B90" s="51">
        <f>IFERROR(__xludf.DUMMYFUNCTION("""COMPUTED_VALUE"""),45374.0)</f>
        <v>45374</v>
      </c>
      <c r="C90" s="27" t="str">
        <f>IFERROR(__xludf.DUMMYFUNCTION("""COMPUTED_VALUE"""),"Improv: DDlg Hypnotherapy Session")</f>
        <v>Improv: DDlg Hypnotherapy Session</v>
      </c>
      <c r="D90" s="27" t="str">
        <f>IFERROR(__xludf.DUMMYFUNCTION("""COMPUTED_VALUE"""),"Dr. Bea brings you and your daughter in to her office so help hypnotize her into being the best girl for her daddy. ")</f>
        <v>Dr. Bea brings you and your daughter in to her office so help hypnotize her into being the best girl for her daddy. </v>
      </c>
      <c r="E90" s="27" t="str">
        <f>IFERROR(__xludf.DUMMYFUNCTION("""COMPUTED_VALUE"""),"DDlg, accomplice, hypnosis, incest")</f>
        <v>DDlg, accomplice, hypnosis, incest</v>
      </c>
    </row>
    <row r="91">
      <c r="A91" s="52">
        <f>IFERROR(__xludf.DUMMYFUNCTION("""COMPUTED_VALUE"""),574.0)</f>
        <v>574</v>
      </c>
      <c r="B91" s="51">
        <f>IFERROR(__xludf.DUMMYFUNCTION("""COMPUTED_VALUE"""),45385.0)</f>
        <v>45385</v>
      </c>
      <c r="C91" s="27" t="str">
        <f>IFERROR(__xludf.DUMMYFUNCTION("""COMPUTED_VALUE"""),"Improv: Daughter’s Punishment Room Pt 3")</f>
        <v>Improv: Daughter’s Punishment Room Pt 3</v>
      </c>
      <c r="D91" s="27" t="str">
        <f>IFERROR(__xludf.DUMMYFUNCTION("""COMPUTED_VALUE"""),"Mom &amp; Dad find a reason to punish their daughter in their home dungeon. ")</f>
        <v>Mom &amp; Dad find a reason to punish their daughter in their home dungeon. </v>
      </c>
      <c r="E91" s="27" t="str">
        <f>IFERROR(__xludf.DUMMYFUNCTION("""COMPUTED_VALUE"""),"incest, S&amp;M, DDlg, anal, throat fuck sfx, ball gag sfx, spanking sfx")</f>
        <v>incest, S&amp;M, DDlg, anal, throat fuck sfx, ball gag sfx, spanking sfx</v>
      </c>
    </row>
    <row r="92">
      <c r="A92" s="52">
        <f>IFERROR(__xludf.DUMMYFUNCTION("""COMPUTED_VALUE"""),576.0)</f>
        <v>576</v>
      </c>
      <c r="B92" s="51">
        <f>IFERROR(__xludf.DUMMYFUNCTION("""COMPUTED_VALUE"""),45388.0)</f>
        <v>45388</v>
      </c>
      <c r="C92" s="27" t="str">
        <f>IFERROR(__xludf.DUMMYFUNCTION("""COMPUTED_VALUE"""),"Improv: Pervy Disney Streaming")</f>
        <v>Improv: Pervy Disney Streaming</v>
      </c>
      <c r="D92" s="27" t="str">
        <f>IFERROR(__xludf.DUMMYFUNCTION("""COMPUTED_VALUE"""),"The public perving family takes a trip to Disney World and livestreams their depravity. ")</f>
        <v>The public perving family takes a trip to Disney World and livestreams their depravity. </v>
      </c>
      <c r="E92" s="27" t="str">
        <f>IFERROR(__xludf.DUMMYFUNCTION("""COMPUTED_VALUE"""),"public sex, incest, DDlg, MDlb, orgy")</f>
        <v>public sex, incest, DDlg, MDlb, orgy</v>
      </c>
    </row>
    <row r="93">
      <c r="A93" s="52">
        <f>IFERROR(__xludf.DUMMYFUNCTION("""COMPUTED_VALUE"""),580.0)</f>
        <v>580</v>
      </c>
      <c r="B93" s="51">
        <f>IFERROR(__xludf.DUMMYFUNCTION("""COMPUTED_VALUE"""),45390.0)</f>
        <v>45390</v>
      </c>
      <c r="C93" s="27" t="str">
        <f>IFERROR(__xludf.DUMMYFUNCTION("""COMPUTED_VALUE"""),"Improv: Breed Our Daughter")</f>
        <v>Improv: Breed Our Daughter</v>
      </c>
      <c r="D93" s="27" t="str">
        <f>IFERROR(__xludf.DUMMYFUNCTION("""COMPUTED_VALUE"""),"I find proof our daughter has a crush on her father and encourage them to have sex. ")</f>
        <v>I find proof our daughter has a crush on her father and encourage them to have sex. </v>
      </c>
      <c r="E93" s="27" t="str">
        <f>IFERROR(__xludf.DUMMYFUNCTION("""COMPUTED_VALUE"""),"ddlg, breeding, accomplice, incest")</f>
        <v>ddlg, breeding, accomplice, incest</v>
      </c>
    </row>
    <row r="94">
      <c r="A94" s="52">
        <f>IFERROR(__xludf.DUMMYFUNCTION("""COMPUTED_VALUE"""),582.0)</f>
        <v>582</v>
      </c>
      <c r="B94" s="51">
        <f>IFERROR(__xludf.DUMMYFUNCTION("""COMPUTED_VALUE"""),45391.0)</f>
        <v>45391</v>
      </c>
      <c r="C94" s="27" t="str">
        <f>IFERROR(__xludf.DUMMYFUNCTION("""COMPUTED_VALUE"""),"Improv: Daughter Calls Your PSO")</f>
        <v>Improv: Daughter Calls Your PSO</v>
      </c>
      <c r="D94" s="27" t="str">
        <f>IFERROR(__xludf.DUMMYFUNCTION("""COMPUTED_VALUE"""),"Your daughter calls me,  your taboo PSO, and gets a special DDlg silent call. ")</f>
        <v>Your daughter calls me,  your taboo PSO, and gets a special DDlg silent call. </v>
      </c>
      <c r="E94" s="27" t="str">
        <f>IFERROR(__xludf.DUMMYFUNCTION("""COMPUTED_VALUE"""),"one woman/two voices, ddlg, accomplice, cum countdown, breeding, incest")</f>
        <v>one woman/two voices, ddlg, accomplice, cum countdown, breeding, incest</v>
      </c>
    </row>
    <row r="95">
      <c r="A95" s="52">
        <f>IFERROR(__xludf.DUMMYFUNCTION("""COMPUTED_VALUE"""),592.0)</f>
        <v>592</v>
      </c>
      <c r="B95" s="51">
        <f>IFERROR(__xludf.DUMMYFUNCTION("""COMPUTED_VALUE"""),45406.0)</f>
        <v>45406</v>
      </c>
      <c r="C95" s="27" t="str">
        <f>IFERROR(__xludf.DUMMYFUNCTION("""COMPUTED_VALUE"""),"Improv: Showers With Daddy")</f>
        <v>Improv: Showers With Daddy</v>
      </c>
      <c r="D95" s="27" t="str">
        <f>IFERROR(__xludf.DUMMYFUNCTION("""COMPUTED_VALUE"""),"I take showers with my dad that start pretty innocent, but get more perverse after some times.  ")</f>
        <v>I take showers with my dad that start pretty innocent, but get more perverse after some times.  </v>
      </c>
      <c r="E95" s="27" t="str">
        <f>IFERROR(__xludf.DUMMYFUNCTION("""COMPUTED_VALUE"""),"DDlg, incest, creampie")</f>
        <v>DDlg, incest, creampie</v>
      </c>
    </row>
    <row r="96">
      <c r="A96" s="52">
        <f>IFERROR(__xludf.DUMMYFUNCTION("""COMPUTED_VALUE"""),615.0)</f>
        <v>615</v>
      </c>
      <c r="B96" s="51">
        <f>IFERROR(__xludf.DUMMYFUNCTION("""COMPUTED_VALUE"""),45445.0)</f>
        <v>45445</v>
      </c>
      <c r="C96" s="27" t="str">
        <f>IFERROR(__xludf.DUMMYFUNCTION("""COMPUTED_VALUE"""),"Miss B Directs DDlg Session")</f>
        <v>Miss B Directs DDlg Session</v>
      </c>
      <c r="D96" s="27" t="str">
        <f>IFERROR(__xludf.DUMMYFUNCTION("""COMPUTED_VALUE"""),"I direct a DDlg session, their first time together. ")</f>
        <v>I direct a DDlg session, their first time together. </v>
      </c>
      <c r="E96" s="27" t="str">
        <f>IFERROR(__xludf.DUMMYFUNCTION("""COMPUTED_VALUE"""),"DDlg, breeding, incest, watersports, CEI")</f>
        <v>DDlg, breeding, incest, watersports, CEI</v>
      </c>
    </row>
    <row r="97">
      <c r="A97" s="52">
        <f>IFERROR(__xludf.DUMMYFUNCTION("""COMPUTED_VALUE"""),624.0)</f>
        <v>624</v>
      </c>
      <c r="B97" s="51">
        <f>IFERROR(__xludf.DUMMYFUNCTION("""COMPUTED_VALUE"""),45457.0)</f>
        <v>45457</v>
      </c>
      <c r="C97" s="27" t="str">
        <f>IFERROR(__xludf.DUMMYFUNCTION("""COMPUTED_VALUE"""),"Collab: Teach Me Mommy")</f>
        <v>Collab: Teach Me Mommy</v>
      </c>
      <c r="D97" s="27" t="str">
        <f>IFERROR(__xludf.DUMMYFUNCTION("""COMPUTED_VALUE""")," A mother gives her daughter lessons on how to be the best slut for Daddy")</f>
        <v> A mother gives her daughter lessons on how to be the best slut for Daddy</v>
      </c>
      <c r="E97" s="27" t="str">
        <f>IFERROR(__xludf.DUMMYFUNCTION("""COMPUTED_VALUE"""),"MDlg, DDlg, Accomplice, incest, lesbian, blowjob sfx")</f>
        <v>MDlg, DDlg, Accomplice, incest, lesbian, blowjob sfx</v>
      </c>
    </row>
    <row r="98">
      <c r="A98" s="52">
        <f>IFERROR(__xludf.DUMMYFUNCTION("""COMPUTED_VALUE"""),630.0)</f>
        <v>630</v>
      </c>
      <c r="B98" s="51">
        <f>IFERROR(__xludf.DUMMYFUNCTION("""COMPUTED_VALUE"""),45463.0)</f>
        <v>45463</v>
      </c>
      <c r="C98" s="27" t="str">
        <f>IFERROR(__xludf.DUMMYFUNCTION("""COMPUTED_VALUE"""),"Training Big Sis")</f>
        <v>Training Big Sis</v>
      </c>
      <c r="D98" s="27" t="str">
        <f>IFERROR(__xludf.DUMMYFUNCTION("""COMPUTED_VALUE"""),"I help a big sister train her little sister to learn her place. ")</f>
        <v>I help a big sister train her little sister to learn her place. </v>
      </c>
      <c r="E98" s="27" t="str">
        <f>IFERROR(__xludf.DUMMYFUNCTION("""COMPUTED_VALUE"""),"accomplice, siblings, misogyny, degradation, lesbian sister, incest, DDlg")</f>
        <v>accomplice, siblings, misogyny, degradation, lesbian sister, incest, DDlg</v>
      </c>
    </row>
    <row r="99">
      <c r="A99" s="52">
        <f>IFERROR(__xludf.DUMMYFUNCTION("""COMPUTED_VALUE"""),631.0)</f>
        <v>631</v>
      </c>
      <c r="B99" s="51">
        <f>IFERROR(__xludf.DUMMYFUNCTION("""COMPUTED_VALUE"""),45467.0)</f>
        <v>45467</v>
      </c>
      <c r="C99" s="27" t="str">
        <f>IFERROR(__xludf.DUMMYFUNCTION("""COMPUTED_VALUE"""),"Seducing Daddy")</f>
        <v>Seducing Daddy</v>
      </c>
      <c r="D99" s="27" t="str">
        <f>IFERROR(__xludf.DUMMYFUNCTION("""COMPUTED_VALUE"""),"What I would have done if I had seduced my daddy years ago. ")</f>
        <v>What I would have done if I had seduced my daddy years ago. </v>
      </c>
      <c r="E99" s="27" t="str">
        <f>IFERROR(__xludf.DUMMYFUNCTION("""COMPUTED_VALUE"""),"ddlg, internal dialogue, seduction")</f>
        <v>ddlg, internal dialogue, seduction</v>
      </c>
    </row>
    <row r="100">
      <c r="A100" s="52">
        <f>IFERROR(__xludf.DUMMYFUNCTION("""COMPUTED_VALUE"""),648.0)</f>
        <v>648</v>
      </c>
      <c r="B100" s="51">
        <f>IFERROR(__xludf.DUMMYFUNCTION("""COMPUTED_VALUE"""),45502.0)</f>
        <v>45502</v>
      </c>
      <c r="C100" s="27" t="str">
        <f>IFERROR(__xludf.DUMMYFUNCTION("""COMPUTED_VALUE"""),"Dad &amp; Daughter Compromise")</f>
        <v>Dad &amp; Daughter Compromise</v>
      </c>
      <c r="D100" s="27" t="str">
        <f>IFERROR(__xludf.DUMMYFUNCTION("""COMPUTED_VALUE"""),"To avoid a certain punishment, a daughter agrees to have forbidden sex. ")</f>
        <v>To avoid a certain punishment, a daughter agrees to have forbidden sex. </v>
      </c>
      <c r="E100" s="27" t="str">
        <f>IFERROR(__xludf.DUMMYFUNCTION("""COMPUTED_VALUE"""),"incest, DDlg, consensual, oral, missionary, creampie")</f>
        <v>incest, DDlg, consensual, oral, missionary, creampie</v>
      </c>
    </row>
    <row r="101">
      <c r="A101" s="52">
        <f>IFERROR(__xludf.DUMMYFUNCTION("""COMPUTED_VALUE"""),652.0)</f>
        <v>652</v>
      </c>
      <c r="B101" s="51">
        <f>IFERROR(__xludf.DUMMYFUNCTION("""COMPUTED_VALUE"""),45510.0)</f>
        <v>45510</v>
      </c>
      <c r="C101" s="27" t="str">
        <f>IFERROR(__xludf.DUMMYFUNCTION("""COMPUTED_VALUE"""),"Trippy &amp; Perverted Club Experience")</f>
        <v>Trippy &amp; Perverted Club Experience</v>
      </c>
      <c r="D101" s="27" t="str">
        <f>IFERROR(__xludf.DUMMYFUNCTION("""COMPUTED_VALUE"""),"A father visits a hypno club for the first time and I grab hold of him and send him into a drug induced dive into depravity. ")</f>
        <v>A father visits a hypno club for the first time and I grab hold of him and send him into a drug induced dive into depravity. </v>
      </c>
      <c r="E101" s="27" t="str">
        <f>IFERROR(__xludf.DUMMYFUNCTION("""COMPUTED_VALUE"""),"hypno, DDlg, accomplice, incest, femdom")</f>
        <v>hypno, DDlg, accomplice, incest, femdom</v>
      </c>
    </row>
    <row r="102">
      <c r="A102" s="52">
        <f>IFERROR(__xludf.DUMMYFUNCTION("""COMPUTED_VALUE"""),659.0)</f>
        <v>659</v>
      </c>
      <c r="B102" s="51">
        <f>IFERROR(__xludf.DUMMYFUNCTION("""COMPUTED_VALUE"""),45526.0)</f>
        <v>45526</v>
      </c>
      <c r="C102" s="27" t="str">
        <f>IFERROR(__xludf.DUMMYFUNCTION("""COMPUTED_VALUE"""),"Incest Baby Shower")</f>
        <v>Incest Baby Shower</v>
      </c>
      <c r="D102" s="27" t="str">
        <f>IFERROR(__xludf.DUMMYFUNCTION("""COMPUTED_VALUE"""),"Two baby showers are thrown within a close, uniquely sexual family. ")</f>
        <v>Two baby showers are thrown within a close, uniquely sexual family. </v>
      </c>
      <c r="E102" s="27" t="str">
        <f>IFERROR(__xludf.DUMMYFUNCTION("""COMPUTED_VALUE"""),"incest, DDlg, accomplice, breeding, MDlb, fisting, strap on")</f>
        <v>incest, DDlg, accomplice, breeding, MDlb, fisting, strap on</v>
      </c>
    </row>
    <row r="103">
      <c r="A103" s="52">
        <f>IFERROR(__xludf.DUMMYFUNCTION("""COMPUTED_VALUE"""),660.0)</f>
        <v>660</v>
      </c>
      <c r="B103" s="51">
        <f>IFERROR(__xludf.DUMMYFUNCTION("""COMPUTED_VALUE"""),45527.0)</f>
        <v>45527</v>
      </c>
      <c r="C103" s="27" t="str">
        <f>IFERROR(__xludf.DUMMYFUNCTION("""COMPUTED_VALUE"""),"Wife's Naughty Roleplay")</f>
        <v>Wife's Naughty Roleplay</v>
      </c>
      <c r="D103" s="27" t="str">
        <f>IFERROR(__xludf.DUMMYFUNCTION("""COMPUTED_VALUE"""),"Your my husband and we're staying in my childhood home which brings back memories of being in hs. I initiate some naughty roleplays. ")</f>
        <v>Your my husband and we're staying in my childhood home which brings back memories of being in hs. I initiate some naughty roleplays. </v>
      </c>
      <c r="E103" s="27" t="str">
        <f>IFERROR(__xludf.DUMMYFUNCTION("""COMPUTED_VALUE"""),"pervy wife experience, teacher/student, DDlg, oral, creampies")</f>
        <v>pervy wife experience, teacher/student, DDlg, oral, creampies</v>
      </c>
    </row>
    <row r="104">
      <c r="A104" s="52">
        <f>IFERROR(__xludf.DUMMYFUNCTION("""COMPUTED_VALUE"""),685.0)</f>
        <v>685</v>
      </c>
      <c r="B104" s="51">
        <f>IFERROR(__xludf.DUMMYFUNCTION("""COMPUTED_VALUE"""),45572.0)</f>
        <v>45572</v>
      </c>
      <c r="C104" s="27" t="str">
        <f>IFERROR(__xludf.DUMMYFUNCTION("""COMPUTED_VALUE"""),"Naughty Neighbors Pt 4")</f>
        <v>Naughty Neighbors Pt 4</v>
      </c>
      <c r="D104" s="27" t="str">
        <f>IFERROR(__xludf.DUMMYFUNCTION("""COMPUTED_VALUE"""),"A mother gives her daughter a valuable lesson while coaching her through making captions of her sister.")</f>
        <v>A mother gives her daughter a valuable lesson while coaching her through making captions of her sister.</v>
      </c>
      <c r="E104" s="27" t="str">
        <f>IFERROR(__xludf.DUMMYFUNCTION("""COMPUTED_VALUE"""),"misogyny, gender traitor, incest, DDlg, degradation, submissive sluts")</f>
        <v>misogyny, gender traitor, incest, DDlg, degradation, submissive sluts</v>
      </c>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3" max="3" width="23.75"/>
    <col customWidth="1" min="4" max="4" width="44.5"/>
    <col customWidth="1" min="5" max="5" width="36.75"/>
  </cols>
  <sheetData>
    <row r="1">
      <c r="A1" s="52"/>
      <c r="B1" s="53" t="s">
        <v>2006</v>
      </c>
      <c r="C1" s="54"/>
      <c r="D1" s="54"/>
      <c r="E1" s="12" t="s">
        <v>32</v>
      </c>
    </row>
    <row r="2">
      <c r="A2" s="52"/>
      <c r="C2" s="54"/>
      <c r="D2" s="54"/>
      <c r="E2" s="27"/>
    </row>
    <row r="3">
      <c r="A3" s="52"/>
      <c r="B3" s="55" t="s">
        <v>2007</v>
      </c>
      <c r="C3" s="54"/>
      <c r="D3" s="54"/>
      <c r="E3" s="27"/>
    </row>
    <row r="4">
      <c r="A4" s="52"/>
      <c r="C4" s="54"/>
      <c r="D4" s="54"/>
      <c r="E4" s="27"/>
    </row>
    <row r="5">
      <c r="A5" s="52"/>
      <c r="C5" s="54"/>
      <c r="D5" s="54"/>
      <c r="E5" s="27"/>
    </row>
    <row r="6">
      <c r="A6" s="49" t="s">
        <v>43</v>
      </c>
      <c r="B6" s="49" t="s">
        <v>44</v>
      </c>
      <c r="C6" s="49" t="s">
        <v>45</v>
      </c>
      <c r="D6" s="49" t="s">
        <v>46</v>
      </c>
      <c r="E6" s="49" t="s">
        <v>47</v>
      </c>
    </row>
    <row r="7">
      <c r="A7" s="56">
        <f>IFERROR(__xludf.DUMMYFUNCTION("filter(Full!A1:E1002, regexmatch(Full!E1:E1002, ""(?i)accomplice""))"),1.0)</f>
        <v>1</v>
      </c>
      <c r="B7" s="57">
        <f>IFERROR(__xludf.DUMMYFUNCTION("""COMPUTED_VALUE"""),44719.0)</f>
        <v>44719</v>
      </c>
      <c r="C7" s="27" t="str">
        <f>IFERROR(__xludf.DUMMYFUNCTION("""COMPUTED_VALUE"""),"Silent Call Female Accomplice")</f>
        <v>Silent Call Female Accomplice</v>
      </c>
      <c r="D7" s="27" t="str">
        <f>IFERROR(__xludf.DUMMYFUNCTION("""COMPUTED_VALUE"""),"I encourage the listener to touch, taste, and fuck a princess I gifted him with")</f>
        <v>I encourage the listener to touch, taste, and fuck a princess I gifted him with</v>
      </c>
      <c r="E7" s="27" t="str">
        <f>IFERROR(__xludf.DUMMYFUNCTION("""COMPUTED_VALUE"""),"Accomplice")</f>
        <v>Accomplice</v>
      </c>
    </row>
    <row r="8">
      <c r="A8" s="27">
        <f>IFERROR(__xludf.DUMMYFUNCTION("""COMPUTED_VALUE"""),3.0)</f>
        <v>3</v>
      </c>
      <c r="B8" s="57">
        <f>IFERROR(__xludf.DUMMYFUNCTION("""COMPUTED_VALUE"""),44732.0)</f>
        <v>44732</v>
      </c>
      <c r="C8" s="27" t="str">
        <f>IFERROR(__xludf.DUMMYFUNCTION("""COMPUTED_VALUE"""),"Silent Call Mommy Accomplice")</f>
        <v>Silent Call Mommy Accomplice</v>
      </c>
      <c r="D8" s="27" t="str">
        <f>IFERROR(__xludf.DUMMYFUNCTION("""COMPUTED_VALUE"""),"Listener is encouraged to take my own cutie")</f>
        <v>Listener is encouraged to take my own cutie</v>
      </c>
      <c r="E8" s="27" t="str">
        <f>IFERROR(__xludf.DUMMYFUNCTION("""COMPUTED_VALUE"""),"Accomplice, oral sex, creampie")</f>
        <v>Accomplice, oral sex, creampie</v>
      </c>
    </row>
    <row r="9">
      <c r="A9" s="27">
        <f>IFERROR(__xludf.DUMMYFUNCTION("""COMPUTED_VALUE"""),5.0)</f>
        <v>5</v>
      </c>
      <c r="B9" s="57">
        <f>IFERROR(__xludf.DUMMYFUNCTION("""COMPUTED_VALUE"""),44734.0)</f>
        <v>44734</v>
      </c>
      <c r="C9" s="27" t="str">
        <f>IFERROR(__xludf.DUMMYFUNCTION("""COMPUTED_VALUE"""),"Silent Call: Pervert Humiliation")</f>
        <v>Silent Call: Pervert Humiliation</v>
      </c>
      <c r="D9" s="27" t="str">
        <f>IFERROR(__xludf.DUMMYFUNCTION("""COMPUTED_VALUE"""),"You enjoy two hispanic girls that are sisters while I humiliate you")</f>
        <v>You enjoy two hispanic girls that are sisters while I humiliate you</v>
      </c>
      <c r="E9" s="27" t="str">
        <f>IFERROR(__xludf.DUMMYFUNCTION("""COMPUTED_VALUE"""),"Humiliation, noncon, accomplice")</f>
        <v>Humiliation, noncon, accomplice</v>
      </c>
    </row>
    <row r="10">
      <c r="A10" s="27">
        <f>IFERROR(__xludf.DUMMYFUNCTION("""COMPUTED_VALUE"""),10.0)</f>
        <v>10</v>
      </c>
      <c r="B10" s="57">
        <f>IFERROR(__xludf.DUMMYFUNCTION("""COMPUTED_VALUE"""),44738.0)</f>
        <v>44738</v>
      </c>
      <c r="C10" s="27" t="str">
        <f>IFERROR(__xludf.DUMMYFUNCTION("""COMPUTED_VALUE"""),"Silent Call Madame Bea’s Brothel")</f>
        <v>Silent Call Madame Bea’s Brothel</v>
      </c>
      <c r="D10" s="27" t="str">
        <f>IFERROR(__xludf.DUMMYFUNCTION("""COMPUTED_VALUE"""),"Madame Bea has two little dolls for the listener")</f>
        <v>Madame Bea has two little dolls for the listener</v>
      </c>
      <c r="E10" s="27" t="str">
        <f>IFERROR(__xludf.DUMMYFUNCTION("""COMPUTED_VALUE"""),"smoking fetish, three hole sluts, face slapping, oral, noncon, accomplice")</f>
        <v>smoking fetish, three hole sluts, face slapping, oral, noncon, accomplice</v>
      </c>
    </row>
    <row r="11">
      <c r="A11" s="27">
        <f>IFERROR(__xludf.DUMMYFUNCTION("""COMPUTED_VALUE"""),12.0)</f>
        <v>12</v>
      </c>
      <c r="B11" s="57">
        <f>IFERROR(__xludf.DUMMYFUNCTION("""COMPUTED_VALUE"""),44738.0)</f>
        <v>44738</v>
      </c>
      <c r="C11" s="27" t="str">
        <f>IFERROR(__xludf.DUMMYFUNCTION("""COMPUTED_VALUE"""),"Silent Call Perv Mommy")</f>
        <v>Silent Call Perv Mommy</v>
      </c>
      <c r="D11" s="27" t="str">
        <f>IFERROR(__xludf.DUMMYFUNCTION("""COMPUTED_VALUE"""),"Listener is encouraged to enjoy my cutie with me")</f>
        <v>Listener is encouraged to enjoy my cutie with me</v>
      </c>
      <c r="E11" s="27" t="str">
        <f>IFERROR(__xludf.DUMMYFUNCTION("""COMPUTED_VALUE"""),"Accomplice, oral, finger, incest")</f>
        <v>Accomplice, oral, finger, incest</v>
      </c>
    </row>
    <row r="12">
      <c r="A12" s="27">
        <f>IFERROR(__xludf.DUMMYFUNCTION("""COMPUTED_VALUE"""),16.0)</f>
        <v>16</v>
      </c>
      <c r="B12" s="57">
        <f>IFERROR(__xludf.DUMMYFUNCTION("""COMPUTED_VALUE"""),44739.0)</f>
        <v>44739</v>
      </c>
      <c r="C12" s="27" t="str">
        <f>IFERROR(__xludf.DUMMYFUNCTION("""COMPUTED_VALUE"""),"Dystopian Milking")</f>
        <v>Dystopian Milking</v>
      </c>
      <c r="D12" s="27" t="str">
        <f>IFERROR(__xludf.DUMMYFUNCTION("""COMPUTED_VALUE"""),"It's the year 2026 and the world has shifted and change. Females are now more powerful than men because only a small percentage of men have viable sperm. A government of women are milking every cock and testing for viability. You (the listener) haven't be"&amp;"en able to successfully be milked. An inquisitor is assigned to break you down and ultimately test your cum...using the only deprave way that makes your cock hard.")</f>
        <v>It's the year 2026 and the world has shifted and change. Females are now more powerful than men because only a small percentage of men have viable sperm. A government of women are milking every cock and testing for viability. You (the listener) haven't been able to successfully be milked. An inquisitor is assigned to break you down and ultimately test your cum...using the only deprave way that makes your cock hard.</v>
      </c>
      <c r="E12" s="27" t="str">
        <f>IFERROR(__xludf.DUMMYFUNCTION("""COMPUTED_VALUE"""),"Accomplice, dystopian future, milking, brief snuff mention, pervert encouragment")</f>
        <v>Accomplice, dystopian future, milking, brief snuff mention, pervert encouragment</v>
      </c>
    </row>
    <row r="13">
      <c r="A13" s="27">
        <f>IFERROR(__xludf.DUMMYFUNCTION("""COMPUTED_VALUE"""),17.0)</f>
        <v>17</v>
      </c>
      <c r="B13" s="57">
        <f>IFERROR(__xludf.DUMMYFUNCTION("""COMPUTED_VALUE"""),44740.0)</f>
        <v>44740</v>
      </c>
      <c r="C13" s="27" t="str">
        <f>IFERROR(__xludf.DUMMYFUNCTION("""COMPUTED_VALUE"""),"Accomplice Improv")</f>
        <v>Accomplice Improv</v>
      </c>
      <c r="D13" s="27" t="str">
        <f>IFERROR(__xludf.DUMMYFUNCTION("""COMPUTED_VALUE"""),"Me and you (listener) are in my car while I talk about fantasies ")</f>
        <v>Me and you (listener) are in my car while I talk about fantasies </v>
      </c>
      <c r="E13" s="27" t="str">
        <f>IFERROR(__xludf.DUMMYFUNCTION("""COMPUTED_VALUE"""),"Voyeur, accomplice, oral sex, creampie, pervert encouragement")</f>
        <v>Voyeur, accomplice, oral sex, creampie, pervert encouragement</v>
      </c>
    </row>
    <row r="14">
      <c r="A14" s="27">
        <f>IFERROR(__xludf.DUMMYFUNCTION("""COMPUTED_VALUE"""),18.0)</f>
        <v>18</v>
      </c>
      <c r="B14" s="57">
        <f>IFERROR(__xludf.DUMMYFUNCTION("""COMPUTED_VALUE"""),44740.0)</f>
        <v>44740</v>
      </c>
      <c r="C14" s="27" t="str">
        <f>IFERROR(__xludf.DUMMYFUNCTION("""COMPUTED_VALUE"""),"Babysitter Rules")</f>
        <v>Babysitter Rules</v>
      </c>
      <c r="D14" s="27" t="str">
        <f>IFERROR(__xludf.DUMMYFUNCTION("""COMPUTED_VALUE"""),"What happens with the babysitter STAYS with the babysitter. Babysitter gives two siblings a naughty lesson. ")</f>
        <v>What happens with the babysitter STAYS with the babysitter. Babysitter gives two siblings a naughty lesson. </v>
      </c>
      <c r="E14" s="27" t="str">
        <f>IFERROR(__xludf.DUMMYFUNCTION("""COMPUTED_VALUE"""),"accomplice, family incest, bro and sis")</f>
        <v>accomplice, family incest, bro and sis</v>
      </c>
    </row>
    <row r="15">
      <c r="A15" s="27">
        <f>IFERROR(__xludf.DUMMYFUNCTION("""COMPUTED_VALUE"""),20.0)</f>
        <v>20</v>
      </c>
      <c r="B15" s="57">
        <f>IFERROR(__xludf.DUMMYFUNCTION("""COMPUTED_VALUE"""),44743.0)</f>
        <v>44743</v>
      </c>
      <c r="C15" s="27" t="str">
        <f>IFERROR(__xludf.DUMMYFUNCTION("""COMPUTED_VALUE"""),"Silent One-Way Call: Pervy Girlfriend Experience")</f>
        <v>Silent One-Way Call: Pervy Girlfriend Experience</v>
      </c>
      <c r="D15" s="27" t="str">
        <f>IFERROR(__xludf.DUMMYFUNCTION("""COMPUTED_VALUE"""),"Real silent call where I improve the following premise: your gf finds your filthy porn history and encourages you to stay nasty")</f>
        <v>Real silent call where I improve the following premise: your gf finds your filthy porn history and encourages you to stay nasty</v>
      </c>
      <c r="E15" s="27" t="str">
        <f>IFERROR(__xludf.DUMMYFUNCTION("""COMPUTED_VALUE"""),"perverted girlfriend experience, accomplice, rough, choke, femdom, corrupt, pervert encouragement, snuff")</f>
        <v>perverted girlfriend experience, accomplice, rough, choke, femdom, corrupt, pervert encouragement, snuff</v>
      </c>
    </row>
    <row r="16">
      <c r="A16" s="27">
        <f>IFERROR(__xludf.DUMMYFUNCTION("""COMPUTED_VALUE"""),22.0)</f>
        <v>22</v>
      </c>
      <c r="B16" s="57">
        <f>IFERROR(__xludf.DUMMYFUNCTION("""COMPUTED_VALUE"""),44745.0)</f>
        <v>44745</v>
      </c>
      <c r="C16" s="27" t="str">
        <f>IFERROR(__xludf.DUMMYFUNCTION("""COMPUTED_VALUE"""),"Silent Call: Baby Accomplice ")</f>
        <v>Silent Call: Baby Accomplice </v>
      </c>
      <c r="D16" s="27" t="str">
        <f>IFERROR(__xludf.DUMMYFUNCTION("""COMPUTED_VALUE"""),"Accomplice steals a tiny little one for you.")</f>
        <v>Accomplice steals a tiny little one for you.</v>
      </c>
      <c r="E16" s="27" t="str">
        <f>IFERROR(__xludf.DUMMYFUNCTION("""COMPUTED_VALUE"""),"kidnap, accomplice, extreme ap")</f>
        <v>kidnap, accomplice, extreme ap</v>
      </c>
    </row>
    <row r="17">
      <c r="A17" s="27">
        <f>IFERROR(__xludf.DUMMYFUNCTION("""COMPUTED_VALUE"""),26.0)</f>
        <v>26</v>
      </c>
      <c r="B17" s="57">
        <f>IFERROR(__xludf.DUMMYFUNCTION("""COMPUTED_VALUE"""),44745.0)</f>
        <v>44745</v>
      </c>
      <c r="C17" s="27" t="str">
        <f>IFERROR(__xludf.DUMMYFUNCTION("""COMPUTED_VALUE"""),"Silent One Way Call: Pervy Girlfriend Experience Part 3")</f>
        <v>Silent One Way Call: Pervy Girlfriend Experience Part 3</v>
      </c>
      <c r="D17" s="27" t="str">
        <f>IFERROR(__xludf.DUMMYFUNCTION("""COMPUTED_VALUE"""),"A girl shows up to deliver pizza and your pervy girlfriend just couldn't help herself by pulling inside and having you play with her. ")</f>
        <v>A girl shows up to deliver pizza and your pervy girlfriend just couldn't help herself by pulling inside and having you play with her. </v>
      </c>
      <c r="E17" s="27" t="str">
        <f>IFERROR(__xludf.DUMMYFUNCTION("""COMPUTED_VALUE"""),"perverted gfe, accomplice, rough, snuff, kidnap")</f>
        <v>perverted gfe, accomplice, rough, snuff, kidnap</v>
      </c>
    </row>
    <row r="18">
      <c r="A18" s="27">
        <f>IFERROR(__xludf.DUMMYFUNCTION("""COMPUTED_VALUE"""),31.0)</f>
        <v>31</v>
      </c>
      <c r="B18" s="57">
        <f>IFERROR(__xludf.DUMMYFUNCTION("""COMPUTED_VALUE"""),44748.0)</f>
        <v>44748</v>
      </c>
      <c r="C18" s="27" t="str">
        <f>IFERROR(__xludf.DUMMYFUNCTION("""COMPUTED_VALUE"""),"Silent One Way Call: Perv Hypno Start/Accomplice Ending")</f>
        <v>Silent One Way Call: Perv Hypno Start/Accomplice Ending</v>
      </c>
      <c r="D18" s="27" t="str">
        <f>IFERROR(__xludf.DUMMYFUNCTION("""COMPUTED_VALUE"""),"One way silent call where I deliver a breathy hypno-ish beginning and finish it up with an accomplice style ending where I tell the listener to take the gift I brought you.")</f>
        <v>One way silent call where I deliver a breathy hypno-ish beginning and finish it up with an accomplice style ending where I tell the listener to take the gift I brought you.</v>
      </c>
      <c r="E18" s="27" t="str">
        <f>IFERROR(__xludf.DUMMYFUNCTION("""COMPUTED_VALUE"""),"hyno, chock full of triggers, accomplice, intoxication, noncon, snuff")</f>
        <v>hyno, chock full of triggers, accomplice, intoxication, noncon, snuff</v>
      </c>
    </row>
    <row r="19">
      <c r="A19" s="27">
        <f>IFERROR(__xludf.DUMMYFUNCTION("""COMPUTED_VALUE"""),36.0)</f>
        <v>36</v>
      </c>
      <c r="B19" s="57">
        <f>IFERROR(__xludf.DUMMYFUNCTION("""COMPUTED_VALUE"""),44753.0)</f>
        <v>44753</v>
      </c>
      <c r="C19" s="27" t="str">
        <f>IFERROR(__xludf.DUMMYFUNCTION("""COMPUTED_VALUE"""),"Real Silent Call: Perv Partners")</f>
        <v>Real Silent Call: Perv Partners</v>
      </c>
      <c r="D19" s="27" t="str">
        <f>IFERROR(__xludf.DUMMYFUNCTION("""COMPUTED_VALUE"""),"You (the listener) are a new neighbor who is a notorious sick fuck and you get a knock on the door from someone who is your biggest fan and wants to be your partner in crime")</f>
        <v>You (the listener) are a new neighbor who is a notorious sick fuck and you get a knock on the door from someone who is your biggest fan and wants to be your partner in crime</v>
      </c>
      <c r="E19" s="27" t="str">
        <f>IFERROR(__xludf.DUMMYFUNCTION("""COMPUTED_VALUE"""),"phone sex worker got mind fucked, accomplice, snuff, noncon")</f>
        <v>phone sex worker got mind fucked, accomplice, snuff, noncon</v>
      </c>
    </row>
    <row r="20">
      <c r="A20" s="27">
        <f>IFERROR(__xludf.DUMMYFUNCTION("""COMPUTED_VALUE"""),46.0)</f>
        <v>46</v>
      </c>
      <c r="B20" s="57">
        <f>IFERROR(__xludf.DUMMYFUNCTION("""COMPUTED_VALUE"""),44758.0)</f>
        <v>44758</v>
      </c>
      <c r="C20" s="27" t="str">
        <f>IFERROR(__xludf.DUMMYFUNCTION("""COMPUTED_VALUE"""),"Custom Fill: Girlfriend's Anniversary Gift")</f>
        <v>Custom Fill: Girlfriend's Anniversary Gift</v>
      </c>
      <c r="D20" s="27" t="str">
        <f>IFERROR(__xludf.DUMMYFUNCTION("""COMPUTED_VALUE""")," Your girlfriend wants to surprise you with a special gift for your 1 year anniversary.")</f>
        <v> Your girlfriend wants to surprise you with a special gift for your 1 year anniversary.</v>
      </c>
      <c r="E20" s="27" t="str">
        <f>IFERROR(__xludf.DUMMYFUNCTION("""COMPUTED_VALUE""")," perverted girlfriend experience, accomplice, girl on girl, brief watersports, squirting, threesome ")</f>
        <v> perverted girlfriend experience, accomplice, girl on girl, brief watersports, squirting, threesome </v>
      </c>
    </row>
    <row r="21">
      <c r="A21" s="27">
        <f>IFERROR(__xludf.DUMMYFUNCTION("""COMPUTED_VALUE"""),50.0)</f>
        <v>50</v>
      </c>
      <c r="B21" s="57">
        <f>IFERROR(__xludf.DUMMYFUNCTION("""COMPUTED_VALUE"""),44762.0)</f>
        <v>44762</v>
      </c>
      <c r="C21" s="27" t="str">
        <f>IFERROR(__xludf.DUMMYFUNCTION("""COMPUTED_VALUE"""),"Silent Call: Pervert JOI")</f>
        <v>Silent Call: Pervert JOI</v>
      </c>
      <c r="D21" s="27" t="str">
        <f>IFERROR(__xludf.DUMMYFUNCTION("""COMPUTED_VALUE"""),"You can't resist your nasty girlfriend. Stroke your cock JOI-ish style while I tell you exactly you are and what you desire and crave.")</f>
        <v>You can't resist your nasty girlfriend. Stroke your cock JOI-ish style while I tell you exactly you are and what you desire and crave.</v>
      </c>
      <c r="E21" s="27" t="str">
        <f>IFERROR(__xludf.DUMMYFUNCTION("""COMPUTED_VALUE"""),"JOI, deepthroat, accomplice, perverted girlfriend experience, pervert encouragement")</f>
        <v>JOI, deepthroat, accomplice, perverted girlfriend experience, pervert encouragement</v>
      </c>
    </row>
    <row r="22">
      <c r="A22" s="27">
        <f>IFERROR(__xludf.DUMMYFUNCTION("""COMPUTED_VALUE"""),51.0)</f>
        <v>51</v>
      </c>
      <c r="B22" s="57">
        <f>IFERROR(__xludf.DUMMYFUNCTION("""COMPUTED_VALUE"""),44762.0)</f>
        <v>44762</v>
      </c>
      <c r="C22" s="27" t="str">
        <f>IFERROR(__xludf.DUMMYFUNCTION("""COMPUTED_VALUE"""),"Custom Fill: First Date w/Bad Mom")</f>
        <v>Custom Fill: First Date w/Bad Mom</v>
      </c>
      <c r="D22" s="27" t="str">
        <f>IFERROR(__xludf.DUMMYFUNCTION("""COMPUTED_VALUE"""),"We met online. I was your PSO for a year. We learned we lived local to each other and decided to meet up at a park in front of playground. We scope out a couple cuties and I convince you to let me lure them in and take them back to my empty house where yo"&amp;"u have some fun with them. Afterwards, I try to do a bit of homewrecking by offering my own as free use so please come be my boyfriend! ")</f>
        <v>We met online. I was your PSO for a year. We learned we lived local to each other and decided to meet up at a park in front of playground. We scope out a couple cuties and I convince you to let me lure them in and take them back to my empty house where you have some fun with them. Afterwards, I try to do a bit of homewrecking by offering my own as free use so please come be my boyfriend! </v>
      </c>
      <c r="E22" s="27" t="str">
        <f>IFERROR(__xludf.DUMMYFUNCTION("""COMPUTED_VALUE""")," accomplice, deepthroat, anal, choking, snuff, degradation, homewrecking")</f>
        <v> accomplice, deepthroat, anal, choking, snuff, degradation, homewrecking</v>
      </c>
    </row>
    <row r="23">
      <c r="A23" s="27">
        <f>IFERROR(__xludf.DUMMYFUNCTION("""COMPUTED_VALUE"""),54.0)</f>
        <v>54</v>
      </c>
      <c r="B23" s="57">
        <f>IFERROR(__xludf.DUMMYFUNCTION("""COMPUTED_VALUE"""),44769.0)</f>
        <v>44769</v>
      </c>
      <c r="C23" s="27" t="str">
        <f>IFERROR(__xludf.DUMMYFUNCTION("""COMPUTED_VALUE"""),"Silent call: Girlfriend Accomplice")</f>
        <v>Silent call: Girlfriend Accomplice</v>
      </c>
      <c r="D23" s="27" t="str">
        <f>IFERROR(__xludf.DUMMYFUNCTION("""COMPUTED_VALUE"""),"As your girlfriend, I'm quite sick of jerking you off, talking about cuties, so let's just make it a reality. I pay/force a girl you're obsessed with to come over and be your toy. ")</f>
        <v>As your girlfriend, I'm quite sick of jerking you off, talking about cuties, so let's just make it a reality. I pay/force a girl you're obsessed with to come over and be your toy. </v>
      </c>
      <c r="E23" s="27" t="str">
        <f>IFERROR(__xludf.DUMMYFUNCTION("""COMPUTED_VALUE"""),"pervy gfe, tits, cunnilingus, deep throat, accomplice, pervert encouragement")</f>
        <v>pervy gfe, tits, cunnilingus, deep throat, accomplice, pervert encouragement</v>
      </c>
    </row>
    <row r="24">
      <c r="A24" s="27">
        <f>IFERROR(__xludf.DUMMYFUNCTION("""COMPUTED_VALUE"""),55.0)</f>
        <v>55</v>
      </c>
      <c r="B24" s="57">
        <f>IFERROR(__xludf.DUMMYFUNCTION("""COMPUTED_VALUE"""),44769.0)</f>
        <v>44769</v>
      </c>
      <c r="C24" s="27" t="str">
        <f>IFERROR(__xludf.DUMMYFUNCTION("""COMPUTED_VALUE"""),"Custom Fill: Pervert JOI w/Fleshlight")</f>
        <v>Custom Fill: Pervert JOI w/Fleshlight</v>
      </c>
      <c r="D24" s="27" t="str">
        <f>IFERROR(__xludf.DUMMYFUNCTION("""COMPUTED_VALUE"""),"Get your fleshlight (or your hand) on your cock, close your eyes, and listen to my JOI and encourage your perv fantasies. ")</f>
        <v>Get your fleshlight (or your hand) on your cock, close your eyes, and listen to my JOI and encourage your perv fantasies. </v>
      </c>
      <c r="E24" s="27" t="str">
        <f>IFERROR(__xludf.DUMMYFUNCTION("""COMPUTED_VALUE"""),"JOI, , fleshlight, good boy, encouragement, fantasize about blowjob, p in v, and anal, edge, cum countdown, pervert encouragement, accomplice")</f>
        <v>JOI, , fleshlight, good boy, encouragement, fantasize about blowjob, p in v, and anal, edge, cum countdown, pervert encouragement, accomplice</v>
      </c>
    </row>
    <row r="25">
      <c r="A25" s="27">
        <f>IFERROR(__xludf.DUMMYFUNCTION("""COMPUTED_VALUE"""),56.0)</f>
        <v>56</v>
      </c>
      <c r="B25" s="57">
        <f>IFERROR(__xludf.DUMMYFUNCTION("""COMPUTED_VALUE"""),44769.0)</f>
        <v>44769</v>
      </c>
      <c r="C25" s="27" t="str">
        <f>IFERROR(__xludf.DUMMYFUNCTION("""COMPUTED_VALUE"""),"Silent Call: Vacation Barbie Fuck Doll Kidnap")</f>
        <v>Silent Call: Vacation Barbie Fuck Doll Kidnap</v>
      </c>
      <c r="D25" s="27" t="str">
        <f>IFERROR(__xludf.DUMMYFUNCTION("""COMPUTED_VALUE"""),"We are a couple on vacation and spot the perfect girl that we just had to kidnap and bring back home with us. ")</f>
        <v>We are a couple on vacation and spot the perfect girl that we just had to kidnap and bring back home with us. </v>
      </c>
      <c r="E25" s="27" t="str">
        <f>IFERROR(__xludf.DUMMYFUNCTION("""COMPUTED_VALUE"""),"pervy gfe, kidnap and enslave, noncon, accomplice")</f>
        <v>pervy gfe, kidnap and enslave, noncon, accomplice</v>
      </c>
    </row>
    <row r="26">
      <c r="A26" s="27">
        <f>IFERROR(__xludf.DUMMYFUNCTION("""COMPUTED_VALUE"""),61.0)</f>
        <v>61</v>
      </c>
      <c r="B26" s="57">
        <f>IFERROR(__xludf.DUMMYFUNCTION("""COMPUTED_VALUE"""),44772.0)</f>
        <v>44772</v>
      </c>
      <c r="C26" s="27" t="str">
        <f>IFERROR(__xludf.DUMMYFUNCTION("""COMPUTED_VALUE"""),"Silent Call: Consensual Perv Sex")</f>
        <v>Silent Call: Consensual Perv Sex</v>
      </c>
      <c r="D26" s="27" t="str">
        <f>IFERROR(__xludf.DUMMYFUNCTION("""COMPUTED_VALUE"""),"You and girl start getting hot and heavy and both of you just can't help it. You go down the forbidden road. My recording cut off towards the end so sorry for the interruption there. ")</f>
        <v>You and girl start getting hot and heavy and both of you just can't help it. You go down the forbidden road. My recording cut off towards the end so sorry for the interruption there. </v>
      </c>
      <c r="E26" s="27" t="str">
        <f>IFERROR(__xludf.DUMMYFUNCTION("""COMPUTED_VALUE""")," sensual, slow build, pussy grinding, no oral, missionary, cowgirl, creampie, accomplice, pervert encouragement")</f>
        <v> sensual, slow build, pussy grinding, no oral, missionary, cowgirl, creampie, accomplice, pervert encouragement</v>
      </c>
    </row>
    <row r="27">
      <c r="A27" s="27">
        <f>IFERROR(__xludf.DUMMYFUNCTION("""COMPUTED_VALUE"""),67.0)</f>
        <v>67</v>
      </c>
      <c r="B27" s="57">
        <f>IFERROR(__xludf.DUMMYFUNCTION("""COMPUTED_VALUE"""),44775.0)</f>
        <v>44775</v>
      </c>
      <c r="C27" s="27" t="str">
        <f>IFERROR(__xludf.DUMMYFUNCTION("""COMPUTED_VALUE"""),"Silent Call: Extreme Accomplice")</f>
        <v>Silent Call: Extreme Accomplice</v>
      </c>
      <c r="D27" s="27" t="str">
        <f>IFERROR(__xludf.DUMMYFUNCTION("""COMPUTED_VALUE"""),"I bring home a lost girl and most of the perspective is me talking to the girl while you use her holes. Until I decide to take her life while she's being used. ")</f>
        <v>I bring home a lost girl and most of the perspective is me talking to the girl while you use her holes. Until I decide to take her life while she's being used. </v>
      </c>
      <c r="E27" s="27" t="str">
        <f>IFERROR(__xludf.DUMMYFUNCTION("""COMPUTED_VALUE"""),"stolen, accomplice, oral, anal, empty promises, extreme, snuff")</f>
        <v>stolen, accomplice, oral, anal, empty promises, extreme, snuff</v>
      </c>
    </row>
    <row r="28">
      <c r="A28" s="27">
        <f>IFERROR(__xludf.DUMMYFUNCTION("""COMPUTED_VALUE"""),73.0)</f>
        <v>73</v>
      </c>
      <c r="B28" s="57">
        <f>IFERROR(__xludf.DUMMYFUNCTION("""COMPUTED_VALUE"""),44778.0)</f>
        <v>44778</v>
      </c>
      <c r="C28" s="27" t="str">
        <f>IFERROR(__xludf.DUMMYFUNCTION("""COMPUTED_VALUE"""),"Silent Call: Mom Threatens You")</f>
        <v>Silent Call: Mom Threatens You</v>
      </c>
      <c r="D28" s="27" t="str">
        <f>IFERROR(__xludf.DUMMYFUNCTION("""COMPUTED_VALUE""")," I lure you with my treasures, only to keep you trapped by me, threatening to out you to your wife. ")</f>
        <v> I lure you with my treasures, only to keep you trapped by me, threatening to out you to your wife. </v>
      </c>
      <c r="E28" s="27" t="str">
        <f>IFERROR(__xludf.DUMMYFUNCTION("""COMPUTED_VALUE"""),"financial domination, trapped, cruel bitch, smoking, feet, femdom, accomplice")</f>
        <v>financial domination, trapped, cruel bitch, smoking, feet, femdom, accomplice</v>
      </c>
    </row>
    <row r="29">
      <c r="A29" s="27">
        <f>IFERROR(__xludf.DUMMYFUNCTION("""COMPUTED_VALUE"""),74.0)</f>
        <v>74</v>
      </c>
      <c r="B29" s="57">
        <f>IFERROR(__xludf.DUMMYFUNCTION("""COMPUTED_VALUE"""),44779.0)</f>
        <v>44779</v>
      </c>
      <c r="C29" s="27" t="str">
        <f>IFERROR(__xludf.DUMMYFUNCTION("""COMPUTED_VALUE"""),"Silent Call: Extreme Perversion Hypno Vibes")</f>
        <v>Silent Call: Extreme Perversion Hypno Vibes</v>
      </c>
      <c r="D29" s="27" t="str">
        <f>IFERROR(__xludf.DUMMYFUNCTION("""COMPUTED_VALUE"""),"I'm your extreme accomplice. Hypno vibes.")</f>
        <v>I'm your extreme accomplice. Hypno vibes.</v>
      </c>
      <c r="E29" s="27" t="str">
        <f>IFERROR(__xludf.DUMMYFUNCTION("""COMPUTED_VALUE"""),"accomplice, hypno, fuck holes, hatefuck")</f>
        <v>accomplice, hypno, fuck holes, hatefuck</v>
      </c>
    </row>
    <row r="30">
      <c r="A30" s="27">
        <f>IFERROR(__xludf.DUMMYFUNCTION("""COMPUTED_VALUE"""),86.0)</f>
        <v>86</v>
      </c>
      <c r="B30" s="57">
        <f>IFERROR(__xludf.DUMMYFUNCTION("""COMPUTED_VALUE"""),44792.0)</f>
        <v>44792</v>
      </c>
      <c r="C30" s="27" t="str">
        <f>IFERROR(__xludf.DUMMYFUNCTION("""COMPUTED_VALUE"""),"Silent call: Perv Couple")</f>
        <v>Silent call: Perv Couple</v>
      </c>
      <c r="D30" s="27" t="str">
        <f>IFERROR(__xludf.DUMMYFUNCTION("""COMPUTED_VALUE""")," I'm your kinky girlfriend and we finally snatched up a cutie to use as our fuck doll. ")</f>
        <v> I'm your kinky girlfriend and we finally snatched up a cutie to use as our fuck doll. </v>
      </c>
      <c r="E30" s="27" t="str">
        <f>IFERROR(__xludf.DUMMYFUNCTION("""COMPUTED_VALUE"""),"oral, let's share, cowgirl, accomplice, missionary, creampie, fisting")</f>
        <v>oral, let's share, cowgirl, accomplice, missionary, creampie, fisting</v>
      </c>
    </row>
    <row r="31">
      <c r="A31" s="27">
        <f>IFERROR(__xludf.DUMMYFUNCTION("""COMPUTED_VALUE"""),89.0)</f>
        <v>89</v>
      </c>
      <c r="B31" s="57">
        <f>IFERROR(__xludf.DUMMYFUNCTION("""COMPUTED_VALUE"""),44793.0)</f>
        <v>44793</v>
      </c>
      <c r="C31" s="27" t="str">
        <f>IFERROR(__xludf.DUMMYFUNCTION("""COMPUTED_VALUE"""),"Silent Call: Live Pervert Hypno w/Binaural")</f>
        <v>Silent Call: Live Pervert Hypno w/Binaural</v>
      </c>
      <c r="D31" s="27" t="str">
        <f>IFERROR(__xludf.DUMMYFUNCTION("""COMPUTED_VALUE"""),"Just a trigger heavy, whispery hypno voice with binaural sound in the background")</f>
        <v>Just a trigger heavy, whispery hypno voice with binaural sound in the background</v>
      </c>
      <c r="E31" s="27" t="str">
        <f>IFERROR(__xludf.DUMMYFUNCTION("""COMPUTED_VALUE"""),"hypno, binaural beats, cum countdown, I know your secret, accomplice, pervert encouragement")</f>
        <v>hypno, binaural beats, cum countdown, I know your secret, accomplice, pervert encouragement</v>
      </c>
    </row>
    <row r="32">
      <c r="A32" s="27">
        <f>IFERROR(__xludf.DUMMYFUNCTION("""COMPUTED_VALUE"""),92.0)</f>
        <v>92</v>
      </c>
      <c r="B32" s="57">
        <f>IFERROR(__xludf.DUMMYFUNCTION("""COMPUTED_VALUE"""),44797.0)</f>
        <v>44797</v>
      </c>
      <c r="C32" s="27" t="str">
        <f>IFERROR(__xludf.DUMMYFUNCTION("""COMPUTED_VALUE"""),"Custom Fill: Watching Extreme Porn w/GF")</f>
        <v>Custom Fill: Watching Extreme Porn w/GF</v>
      </c>
      <c r="D32" s="27" t="str">
        <f>IFERROR(__xludf.DUMMYFUNCTION("""COMPUTED_VALUE"""),"I'm your girlfriend and we usually watch extreme misogynistic adult porn together, however, I know you have a thing for even more extreme. I gift you some new porn and we enjoy together. ")</f>
        <v>I'm your girlfriend and we usually watch extreme misogynistic adult porn together, however, I know you have a thing for even more extreme. I gift you some new porn and we enjoy together. </v>
      </c>
      <c r="E32" s="27" t="str">
        <f>IFERROR(__xludf.DUMMYFUNCTION("""COMPUTED_VALUE"""),"misogyny, female degradation, sluts &amp; whores, pigs, mouth cunt, abuse, handjob while watching porn, accomplice")</f>
        <v>misogyny, female degradation, sluts &amp; whores, pigs, mouth cunt, abuse, handjob while watching porn, accomplice</v>
      </c>
    </row>
    <row r="33">
      <c r="A33" s="27">
        <f>IFERROR(__xludf.DUMMYFUNCTION("""COMPUTED_VALUE"""),93.0)</f>
        <v>93</v>
      </c>
      <c r="B33" s="57">
        <f>IFERROR(__xludf.DUMMYFUNCTION("""COMPUTED_VALUE"""),44800.0)</f>
        <v>44800</v>
      </c>
      <c r="C33" s="27" t="str">
        <f>IFERROR(__xludf.DUMMYFUNCTION("""COMPUTED_VALUE"""),"Silent Call: Carnal Perv Sex")</f>
        <v>Silent Call: Carnal Perv Sex</v>
      </c>
      <c r="D33" s="27" t="str">
        <f>IFERROR(__xludf.DUMMYFUNCTION("""COMPUTED_VALUE""")," First imagine that I am able to be inside a cutie's body...what I would do to you know the secret I know about you...that you're a sick pervert. ")</f>
        <v> First imagine that I am able to be inside a cutie's body...what I would do to you know the secret I know about you...that you're a sick pervert. </v>
      </c>
      <c r="E33" s="27" t="str">
        <f>IFERROR(__xludf.DUMMYFUNCTION("""COMPUTED_VALUE"""),"seduction, sensual, consensual, accomplice, pervert encouragement")</f>
        <v>seduction, sensual, consensual, accomplice, pervert encouragement</v>
      </c>
    </row>
    <row r="34">
      <c r="A34" s="27">
        <f>IFERROR(__xludf.DUMMYFUNCTION("""COMPUTED_VALUE"""),95.0)</f>
        <v>95</v>
      </c>
      <c r="B34" s="57">
        <f>IFERROR(__xludf.DUMMYFUNCTION("""COMPUTED_VALUE"""),44802.0)</f>
        <v>44802</v>
      </c>
      <c r="C34" s="27" t="str">
        <f>IFERROR(__xludf.DUMMYFUNCTION("""COMPUTED_VALUE"""),"Custom Fill: Rape Cabin")</f>
        <v>Custom Fill: Rape Cabin</v>
      </c>
      <c r="D34" s="27" t="str">
        <f>IFERROR(__xludf.DUMMYFUNCTION("""COMPUTED_VALUE"""),"I'm your accomplice and I have some gifts for you in our secluded cabin in the woods. ")</f>
        <v>I'm your accomplice and I have some gifts for you in our secluded cabin in the woods. </v>
      </c>
      <c r="E34" s="27" t="str">
        <f>IFERROR(__xludf.DUMMYFUNCTION("""COMPUTED_VALUE"""),"intoxication, oral, vaginal, anal, face slapping, accomplice, anal creampie, and I suck it out")</f>
        <v>intoxication, oral, vaginal, anal, face slapping, accomplice, anal creampie, and I suck it out</v>
      </c>
    </row>
    <row r="35">
      <c r="A35" s="27">
        <f>IFERROR(__xludf.DUMMYFUNCTION("""COMPUTED_VALUE"""),101.0)</f>
        <v>101</v>
      </c>
      <c r="B35" s="57">
        <f>IFERROR(__xludf.DUMMYFUNCTION("""COMPUTED_VALUE"""),44806.0)</f>
        <v>44806</v>
      </c>
      <c r="C35" s="27" t="str">
        <f>IFERROR(__xludf.DUMMYFUNCTION("""COMPUTED_VALUE"""),"Silent Call: Your Favorite Accomplice")</f>
        <v>Silent Call: Your Favorite Accomplice</v>
      </c>
      <c r="D35" s="27" t="str">
        <f>IFERROR(__xludf.DUMMYFUNCTION("""COMPUTED_VALUE""")," I have a cutie all prepped and ready for you. I play your favorite accomplice and guide you through two loads, the final load being extreme.")</f>
        <v> I have a cutie all prepped and ready for you. I play your favorite accomplice and guide you through two loads, the final load being extreme.</v>
      </c>
      <c r="E35" s="27" t="str">
        <f>IFERROR(__xludf.DUMMYFUNCTION("""COMPUTED_VALUE""")," accomplice, gooner, deepthroat, choking, creampie, facial, snuff")</f>
        <v> accomplice, gooner, deepthroat, choking, creampie, facial, snuff</v>
      </c>
    </row>
    <row r="36">
      <c r="A36" s="27">
        <f>IFERROR(__xludf.DUMMYFUNCTION("""COMPUTED_VALUE"""),106.0)</f>
        <v>106</v>
      </c>
      <c r="B36" s="57">
        <f>IFERROR(__xludf.DUMMYFUNCTION("""COMPUTED_VALUE"""),44810.0)</f>
        <v>44810</v>
      </c>
      <c r="C36" s="27" t="str">
        <f>IFERROR(__xludf.DUMMYFUNCTION("""COMPUTED_VALUE"""),"Silent Call: Take My Daughter")</f>
        <v>Silent Call: Take My Daughter</v>
      </c>
      <c r="D36" s="27" t="str">
        <f>IFERROR(__xludf.DUMMYFUNCTION("""COMPUTED_VALUE"""),"You're my boyfriend. I'm noticing you're eyes are somewhere else. I give you permission, consent, and beg for you to take her. ")</f>
        <v>You're my boyfriend. I'm noticing you're eyes are somewhere else. I give you permission, consent, and beg for you to take her. </v>
      </c>
      <c r="E36" s="27" t="str">
        <f>IFERROR(__xludf.DUMMYFUNCTION("""COMPUTED_VALUE"""),"pervy GFE, no oral, no anal, L bomb, consensual, accomplice, pervert encouragement")</f>
        <v>pervy GFE, no oral, no anal, L bomb, consensual, accomplice, pervert encouragement</v>
      </c>
    </row>
    <row r="37">
      <c r="A37" s="27">
        <f>IFERROR(__xludf.DUMMYFUNCTION("""COMPUTED_VALUE"""),113.0)</f>
        <v>113</v>
      </c>
      <c r="B37" s="57">
        <f>IFERROR(__xludf.DUMMYFUNCTION("""COMPUTED_VALUE"""),44819.0)</f>
        <v>44819</v>
      </c>
      <c r="C37" s="27" t="str">
        <f>IFERROR(__xludf.DUMMYFUNCTION("""COMPUTED_VALUE"""),"Custom: Rape Cabin Part 2")</f>
        <v>Custom: Rape Cabin Part 2</v>
      </c>
      <c r="D37" s="27" t="str">
        <f>IFERROR(__xludf.DUMMYFUNCTION("""COMPUTED_VALUE""")," You (the listener) and your accomplice decide your cock needs more noncon. You pick the lower one and your accomplice wants an extreme ending. ")</f>
        <v> You (the listener) and your accomplice decide your cock needs more noncon. You pick the lower one and your accomplice wants an extreme ending. </v>
      </c>
      <c r="E37" s="27" t="str">
        <f>IFERROR(__xludf.DUMMYFUNCTION("""COMPUTED_VALUE"""),"accomplice, unconscious, intoxicated/drugged, deep throat, cowgirl, anal, creampies, snuff")</f>
        <v>accomplice, unconscious, intoxicated/drugged, deep throat, cowgirl, anal, creampies, snuff</v>
      </c>
    </row>
    <row r="38">
      <c r="A38" s="27">
        <f>IFERROR(__xludf.DUMMYFUNCTION("""COMPUTED_VALUE"""),114.0)</f>
        <v>114</v>
      </c>
      <c r="B38" s="57">
        <f>IFERROR(__xludf.DUMMYFUNCTION("""COMPUTED_VALUE"""),44825.0)</f>
        <v>44825</v>
      </c>
      <c r="C38" s="27" t="str">
        <f>IFERROR(__xludf.DUMMYFUNCTION("""COMPUTED_VALUE"""),"Silent Call: Accomplice Gives You A Nudge")</f>
        <v>Silent Call: Accomplice Gives You A Nudge</v>
      </c>
      <c r="D38" s="27" t="str">
        <f>IFERROR(__xludf.DUMMYFUNCTION("""COMPUTED_VALUE"""),"I'm like a voice in your head one night when a girl comes to cuddle next to you. ")</f>
        <v>I'm like a voice in your head one night when a girl comes to cuddle next to you. </v>
      </c>
      <c r="E38" s="27" t="str">
        <f>IFERROR(__xludf.DUMMYFUNCTION("""COMPUTED_VALUE"""),"pervert encouragement, no oral, no anal, accomplice")</f>
        <v>pervert encouragement, no oral, no anal, accomplice</v>
      </c>
    </row>
    <row r="39">
      <c r="A39" s="27">
        <f>IFERROR(__xludf.DUMMYFUNCTION("""COMPUTED_VALUE"""),115.0)</f>
        <v>115</v>
      </c>
      <c r="B39" s="57">
        <f>IFERROR(__xludf.DUMMYFUNCTION("""COMPUTED_VALUE"""),44825.0)</f>
        <v>44825</v>
      </c>
      <c r="C39" s="27" t="str">
        <f>IFERROR(__xludf.DUMMYFUNCTION("""COMPUTED_VALUE"""),"Silent Call: Baby Accomplice w/SFX")</f>
        <v>Silent Call: Baby Accomplice w/SFX</v>
      </c>
      <c r="D39" s="27" t="str">
        <f>IFERROR(__xludf.DUMMYFUNCTION("""COMPUTED_VALUE"""),"I bring you something little. I use her first while I instruct you to jerk off until it's your turn to empty into her mouth. ")</f>
        <v>I bring you something little. I use her first while I instruct you to jerk off until it's your turn to empty into her mouth. </v>
      </c>
      <c r="E39" s="27" t="str">
        <f>IFERROR(__xludf.DUMMYFUNCTION("""COMPUTED_VALUE"""),"girl on girl, cunninlingus, fingering, finish in her mouth, accomplice, extreme ap")</f>
        <v>girl on girl, cunninlingus, fingering, finish in her mouth, accomplice, extreme ap</v>
      </c>
    </row>
    <row r="40">
      <c r="A40" s="27">
        <f>IFERROR(__xludf.DUMMYFUNCTION("""COMPUTED_VALUE"""),117.0)</f>
        <v>117</v>
      </c>
      <c r="B40" s="27" t="str">
        <f>IFERROR(__xludf.DUMMYFUNCTION("""COMPUTED_VALUE"""),"9/224")</f>
        <v>9/224</v>
      </c>
      <c r="C40" s="27" t="str">
        <f>IFERROR(__xludf.DUMMYFUNCTION("""COMPUTED_VALUE"""),"Silent Call: Tickle Princess Gets Snuffed")</f>
        <v>Silent Call: Tickle Princess Gets Snuffed</v>
      </c>
      <c r="D40" s="27" t="str">
        <f>IFERROR(__xludf.DUMMYFUNCTION("""COMPUTED_VALUE"""),"I'm your accomplice and we have a kidnapped cutie ready for you to use. You're going to use two of her holes and also tickle and snuff her.")</f>
        <v>I'm your accomplice and we have a kidnapped cutie ready for you to use. You're going to use two of her holes and also tickle and snuff her.</v>
      </c>
      <c r="E40" s="27" t="str">
        <f>IFERROR(__xludf.DUMMYFUNCTION("""COMPUTED_VALUE"""),"throat fuck, accomplice, tickled during rape, which makes her giggle and that's humiliating, creampie her after my cum countdown, snuff")</f>
        <v>throat fuck, accomplice, tickled during rape, which makes her giggle and that's humiliating, creampie her after my cum countdown, snuff</v>
      </c>
    </row>
    <row r="41">
      <c r="A41" s="27">
        <f>IFERROR(__xludf.DUMMYFUNCTION("""COMPUTED_VALUE"""),122.0)</f>
        <v>122</v>
      </c>
      <c r="B41" s="57">
        <f>IFERROR(__xludf.DUMMYFUNCTION("""COMPUTED_VALUE"""),44834.0)</f>
        <v>44834</v>
      </c>
      <c r="C41" s="27" t="str">
        <f>IFERROR(__xludf.DUMMYFUNCTION("""COMPUTED_VALUE"""),"Custom: Rape Cabin Part 3")</f>
        <v>Custom: Rape Cabin Part 3</v>
      </c>
      <c r="D41" s="27" t="str">
        <f>IFERROR(__xludf.DUMMYFUNCTION("""COMPUTED_VALUE"""),"In part 2, me and Ian lost control and snuffed out one. In part 3, we realize that we can't send the other sisters back without the other one, so we make a plan and work on sister #2. ")</f>
        <v>In part 2, me and Ian lost control and snuffed out one. In part 3, we realize that we can't send the other sisters back without the other one, so we make a plan and work on sister #2. </v>
      </c>
      <c r="E41" s="27" t="str">
        <f>IFERROR(__xludf.DUMMYFUNCTION("""COMPUTED_VALUE"""),"forced intoxication, violent, throat rape, anal, abuse, sadistic, accomplice, accomplice gets off with her face, bruises, extreme, gagging sfx, snuff")</f>
        <v>forced intoxication, violent, throat rape, anal, abuse, sadistic, accomplice, accomplice gets off with her face, bruises, extreme, gagging sfx, snuff</v>
      </c>
    </row>
    <row r="42">
      <c r="A42" s="27">
        <f>IFERROR(__xludf.DUMMYFUNCTION("""COMPUTED_VALUE"""),123.0)</f>
        <v>123</v>
      </c>
      <c r="B42" s="57">
        <f>IFERROR(__xludf.DUMMYFUNCTION("""COMPUTED_VALUE"""),44834.0)</f>
        <v>44834</v>
      </c>
      <c r="C42" s="27" t="str">
        <f>IFERROR(__xludf.DUMMYFUNCTION("""COMPUTED_VALUE"""),"Silent Call: Mom/Girlfriend Accomplice")</f>
        <v>Silent Call: Mom/Girlfriend Accomplice</v>
      </c>
      <c r="D42" s="27" t="str">
        <f>IFERROR(__xludf.DUMMYFUNCTION("""COMPUTED_VALUE""")," I urge and coerce you, telling you to just give into your desires. ")</f>
        <v> I urge and coerce you, telling you to just give into your desires. </v>
      </c>
      <c r="E42" s="27" t="str">
        <f>IFERROR(__xludf.DUMMYFUNCTION("""COMPUTED_VALUE"""),"accomplice, some whispering, slow build up, sensual, no anal, no oral, creampie ending, pervert encouragement")</f>
        <v>accomplice, some whispering, slow build up, sensual, no anal, no oral, creampie ending, pervert encouragement</v>
      </c>
    </row>
    <row r="43">
      <c r="A43" s="27">
        <f>IFERROR(__xludf.DUMMYFUNCTION("""COMPUTED_VALUE"""),126.0)</f>
        <v>126</v>
      </c>
      <c r="B43" s="57">
        <f>IFERROR(__xludf.DUMMYFUNCTION("""COMPUTED_VALUE"""),44837.0)</f>
        <v>44837</v>
      </c>
      <c r="C43" s="27" t="str">
        <f>IFERROR(__xludf.DUMMYFUNCTION("""COMPUTED_VALUE"""),"Silent Call: Mom Accomplice 2")</f>
        <v>Silent Call: Mom Accomplice 2</v>
      </c>
      <c r="D43" s="27" t="str">
        <f>IFERROR(__xludf.DUMMYFUNCTION("""COMPUTED_VALUE"""),"The night after you had sex with my daughter for the first time, I call you on the phone and let you know that you and my daughter will be alone tonight and I instruct you what to do. ")</f>
        <v>The night after you had sex with my daughter for the first time, I call you on the phone and let you know that you and my daughter will be alone tonight and I instruct you what to do. </v>
      </c>
      <c r="E43" s="27" t="str">
        <f>IFERROR(__xludf.DUMMYFUNCTION("""COMPUTED_VALUE"""),"accomplice, sensual, no anal, no oral, pervert encouragement")</f>
        <v>accomplice, sensual, no anal, no oral, pervert encouragement</v>
      </c>
    </row>
    <row r="44">
      <c r="A44" s="27">
        <f>IFERROR(__xludf.DUMMYFUNCTION("""COMPUTED_VALUE"""),140.0)</f>
        <v>140</v>
      </c>
      <c r="B44" s="57">
        <f>IFERROR(__xludf.DUMMYFUNCTION("""COMPUTED_VALUE"""),44856.0)</f>
        <v>44856</v>
      </c>
      <c r="C44" s="27" t="str">
        <f>IFERROR(__xludf.DUMMYFUNCTION("""COMPUTED_VALUE"""),"Silent Call: Rape Doll")</f>
        <v>Silent Call: Rape Doll</v>
      </c>
      <c r="D44" s="27" t="str">
        <f>IFERROR(__xludf.DUMMYFUNCTION("""COMPUTED_VALUE"""),"You have a cutie captured and I am a voice inside your head saying all the things you want to hear. ")</f>
        <v>You have a cutie captured and I am a voice inside your head saying all the things you want to hear. </v>
      </c>
      <c r="E44" s="27" t="str">
        <f>IFERROR(__xludf.DUMMYFUNCTION("""COMPUTED_VALUE"""),"accomplice, oral, creampie, aftercare, pervert encouragement")</f>
        <v>accomplice, oral, creampie, aftercare, pervert encouragement</v>
      </c>
    </row>
    <row r="45">
      <c r="A45" s="27">
        <f>IFERROR(__xludf.DUMMYFUNCTION("""COMPUTED_VALUE"""),143.0)</f>
        <v>143</v>
      </c>
      <c r="B45" s="57">
        <f>IFERROR(__xludf.DUMMYFUNCTION("""COMPUTED_VALUE"""),44858.0)</f>
        <v>44858</v>
      </c>
      <c r="C45" s="27" t="str">
        <f>IFERROR(__xludf.DUMMYFUNCTION("""COMPUTED_VALUE"""),"Silent Call: Fuck Your Niece")</f>
        <v>Silent Call: Fuck Your Niece</v>
      </c>
      <c r="D45" s="27" t="str">
        <f>IFERROR(__xludf.DUMMYFUNCTION("""COMPUTED_VALUE""")," I'm your sister and I caught you sniffing my daughter/your niece's panties. I give you what you really want. ")</f>
        <v> I'm your sister and I caught you sniffing my daughter/your niece's panties. I give you what you really want. </v>
      </c>
      <c r="E45" s="27" t="str">
        <f>IFERROR(__xludf.DUMMYFUNCTION("""COMPUTED_VALUE"""),"uncle/niece, accomplice, oral, creampie ending, incest")</f>
        <v>uncle/niece, accomplice, oral, creampie ending, incest</v>
      </c>
    </row>
    <row r="46">
      <c r="A46" s="27">
        <f>IFERROR(__xludf.DUMMYFUNCTION("""COMPUTED_VALUE"""),147.0)</f>
        <v>147</v>
      </c>
      <c r="B46" s="57">
        <f>IFERROR(__xludf.DUMMYFUNCTION("""COMPUTED_VALUE"""),44860.0)</f>
        <v>44860</v>
      </c>
      <c r="C46" s="27" t="str">
        <f>IFERROR(__xludf.DUMMYFUNCTION("""COMPUTED_VALUE"""),"Baby Trigger Happy")</f>
        <v>Baby Trigger Happy</v>
      </c>
      <c r="D46" s="27" t="str">
        <f>IFERROR(__xludf.DUMMYFUNCTION("""COMPUTED_VALUE"""),"This was a quick and dirty off the cuff audio a member requested. Trigger filled and extremely perverted. ")</f>
        <v>This was a quick and dirty off the cuff audio a member requested. Trigger filled and extremely perverted. </v>
      </c>
      <c r="E46" s="27" t="str">
        <f>IFERROR(__xludf.DUMMYFUNCTION("""COMPUTED_VALUE"""),"quick and dirty, pregnant woman fuck, accomplice, extreme ap")</f>
        <v>quick and dirty, pregnant woman fuck, accomplice, extreme ap</v>
      </c>
    </row>
    <row r="47">
      <c r="A47" s="27">
        <f>IFERROR(__xludf.DUMMYFUNCTION("""COMPUTED_VALUE"""),149.0)</f>
        <v>149</v>
      </c>
      <c r="B47" s="57">
        <f>IFERROR(__xludf.DUMMYFUNCTION("""COMPUTED_VALUE"""),44863.0)</f>
        <v>44863</v>
      </c>
      <c r="C47" s="27" t="str">
        <f>IFERROR(__xludf.DUMMYFUNCTION("""COMPUTED_VALUE"""),"Silent Call: Two Girls, One Perv")</f>
        <v>Silent Call: Two Girls, One Perv</v>
      </c>
      <c r="D47" s="27" t="str">
        <f>IFERROR(__xludf.DUMMYFUNCTION("""COMPUTED_VALUE"""),"A bit rambly. Your favorite accomplice reminds you that you're addicted to depraved things. ")</f>
        <v>A bit rambly. Your favorite accomplice reminds you that you're addicted to depraved things. </v>
      </c>
      <c r="E47" s="27" t="str">
        <f>IFERROR(__xludf.DUMMYFUNCTION("""COMPUTED_VALUE"""),"no anal, unconscious victim, throat rape, addiction, accomplice, enabler")</f>
        <v>no anal, unconscious victim, throat rape, addiction, accomplice, enabler</v>
      </c>
    </row>
    <row r="48">
      <c r="A48" s="27">
        <f>IFERROR(__xludf.DUMMYFUNCTION("""COMPUTED_VALUE"""),150.0)</f>
        <v>150</v>
      </c>
      <c r="B48" s="57">
        <f>IFERROR(__xludf.DUMMYFUNCTION("""COMPUTED_VALUE"""),44864.0)</f>
        <v>44864</v>
      </c>
      <c r="C48" s="27" t="str">
        <f>IFERROR(__xludf.DUMMYFUNCTION("""COMPUTED_VALUE"""),"Silent Call: Mommy Accomplice Coerces You")</f>
        <v>Silent Call: Mommy Accomplice Coerces You</v>
      </c>
      <c r="D48" s="27" t="str">
        <f>IFERROR(__xludf.DUMMYFUNCTION("""COMPUTED_VALUE"""),"I'm stroking your cock and reveal that I've noticed how weak you get for my daughter. I start teasing you with her forbidden body until we go into her room where she's sleeping. ")</f>
        <v>I'm stroking your cock and reveal that I've noticed how weak you get for my daughter. I start teasing you with her forbidden body until we go into her room where she's sleeping. </v>
      </c>
      <c r="E48" s="27" t="str">
        <f>IFERROR(__xludf.DUMMYFUNCTION("""COMPUTED_VALUE"""),"slow burn w/creampie ending, no oral, accomplice, sensual, consensual, missionary, cowgirl, pervert encouragement")</f>
        <v>slow burn w/creampie ending, no oral, accomplice, sensual, consensual, missionary, cowgirl, pervert encouragement</v>
      </c>
    </row>
    <row r="49">
      <c r="A49" s="27">
        <f>IFERROR(__xludf.DUMMYFUNCTION("""COMPUTED_VALUE"""),155.0)</f>
        <v>155</v>
      </c>
      <c r="B49" s="57">
        <f>IFERROR(__xludf.DUMMYFUNCTION("""COMPUTED_VALUE"""),44874.0)</f>
        <v>44874</v>
      </c>
      <c r="C49" s="27" t="str">
        <f>IFERROR(__xludf.DUMMYFUNCTION("""COMPUTED_VALUE"""),"Custom: Pervy Santa &amp; Elf Accomplice")</f>
        <v>Custom: Pervy Santa &amp; Elf Accomplice</v>
      </c>
      <c r="D49" s="27" t="str">
        <f>IFERROR(__xludf.DUMMYFUNCTION("""COMPUTED_VALUE""")," I'm pervy Santa's head elf in charge and accomplice and we've got a special Santa experience behind closed doors. ")</f>
        <v> I'm pervy Santa's head elf in charge and accomplice and we've got a special Santa experience behind closed doors. </v>
      </c>
      <c r="E49" s="27" t="str">
        <f>IFERROR(__xludf.DUMMYFUNCTION("""COMPUTED_VALUE"""),"let's dirty up something pure like Santa, lap sitting, oral, special dildo toy, cowgirl, facial, accomplice")</f>
        <v>let's dirty up something pure like Santa, lap sitting, oral, special dildo toy, cowgirl, facial, accomplice</v>
      </c>
    </row>
    <row r="50">
      <c r="A50" s="27">
        <f>IFERROR(__xludf.DUMMYFUNCTION("""COMPUTED_VALUE"""),160.0)</f>
        <v>160</v>
      </c>
      <c r="B50" s="57">
        <f>IFERROR(__xludf.DUMMYFUNCTION("""COMPUTED_VALUE"""),44879.0)</f>
        <v>44879</v>
      </c>
      <c r="C50" s="27" t="str">
        <f>IFERROR(__xludf.DUMMYFUNCTION("""COMPUTED_VALUE"""),"Custom: Rape Cabin Part 4")</f>
        <v>Custom: Rape Cabin Part 4</v>
      </c>
      <c r="D50" s="27" t="str">
        <f>IFERROR(__xludf.DUMMYFUNCTION("""COMPUTED_VALUE"""),"Ian and his accomplice find themselves with one unconscious girl left. A whiskey fueled Ian decides to snuff her immediately and use all three holes. ")</f>
        <v>Ian and his accomplice find themselves with one unconscious girl left. A whiskey fueled Ian decides to snuff her immediately and use all three holes. </v>
      </c>
      <c r="E50" s="27" t="str">
        <f>IFERROR(__xludf.DUMMYFUNCTION("""COMPUTED_VALUE"""),"accomplice, encourage, skull fuck, creampie, anal creampie, multiple cum loads, snuff")</f>
        <v>accomplice, encourage, skull fuck, creampie, anal creampie, multiple cum loads, snuff</v>
      </c>
    </row>
    <row r="51">
      <c r="A51" s="27">
        <f>IFERROR(__xludf.DUMMYFUNCTION("""COMPUTED_VALUE"""),161.0)</f>
        <v>161</v>
      </c>
      <c r="B51" s="57">
        <f>IFERROR(__xludf.DUMMYFUNCTION("""COMPUTED_VALUE"""),44879.0)</f>
        <v>44879</v>
      </c>
      <c r="C51" s="27" t="str">
        <f>IFERROR(__xludf.DUMMYFUNCTION("""COMPUTED_VALUE"""),"Silent Call: Xochitl Dirty Talk")</f>
        <v>Silent Call: Xochitl Dirty Talk</v>
      </c>
      <c r="D51" s="27" t="str">
        <f>IFERROR(__xludf.DUMMYFUNCTION("""COMPUTED_VALUE"""),"You're my boyfriend and we are watching Doctor Strange in the Multiverse of Madness. I'm bored so I do what I do best, distract you by turning you on and having you imagine what you would do if you were the bad guy and could dominate the actress Xochitl. ")</f>
        <v>You're my boyfriend and we are watching Doctor Strange in the Multiverse of Madness. I'm bored so I do what I do best, distract you by turning you on and having you imagine what you would do if you were the bad guy and could dominate the actress Xochitl. </v>
      </c>
      <c r="E51" s="27" t="str">
        <f>IFERROR(__xludf.DUMMYFUNCTION("""COMPUTED_VALUE"""),"pervy gfe, accomplice, drugged unconscious, skull fuck, bondage, choke until she passes out")</f>
        <v>pervy gfe, accomplice, drugged unconscious, skull fuck, bondage, choke until she passes out</v>
      </c>
    </row>
    <row r="52">
      <c r="A52" s="27">
        <f>IFERROR(__xludf.DUMMYFUNCTION("""COMPUTED_VALUE"""),162.0)</f>
        <v>162</v>
      </c>
      <c r="B52" s="57">
        <f>IFERROR(__xludf.DUMMYFUNCTION("""COMPUTED_VALUE"""),44880.0)</f>
        <v>44880</v>
      </c>
      <c r="C52" s="27" t="str">
        <f>IFERROR(__xludf.DUMMYFUNCTION("""COMPUTED_VALUE"""),"Custom: Family Road Trip")</f>
        <v>Custom: Family Road Trip</v>
      </c>
      <c r="D52" s="27" t="str">
        <f>IFERROR(__xludf.DUMMYFUNCTION("""COMPUTED_VALUE"""),"I'm your wife and we're on a road trip with our daughter. I get a little frisky with you while you're driving and our daughter is napping on your lap. She wakes up and mommy teaches her how to please daddy. ")</f>
        <v>I'm your wife and we're on a road trip with our daughter. I get a little frisky with you while you're driving and our daughter is napping on your lap. She wakes up and mommy teaches her how to please daddy. </v>
      </c>
      <c r="E52" s="27" t="str">
        <f>IFERROR(__xludf.DUMMYFUNCTION("""COMPUTED_VALUE"""),"accomplice, road head, precum smears, oral, everyone cums, cum swapping, mom/daughter kiss, incest, DDlg")</f>
        <v>accomplice, road head, precum smears, oral, everyone cums, cum swapping, mom/daughter kiss, incest, DDlg</v>
      </c>
    </row>
    <row r="53">
      <c r="A53" s="27">
        <f>IFERROR(__xludf.DUMMYFUNCTION("""COMPUTED_VALUE"""),163.0)</f>
        <v>163</v>
      </c>
      <c r="B53" s="57">
        <f>IFERROR(__xludf.DUMMYFUNCTION("""COMPUTED_VALUE"""),44881.0)</f>
        <v>44881</v>
      </c>
      <c r="C53" s="27" t="str">
        <f>IFERROR(__xludf.DUMMYFUNCTION("""COMPUTED_VALUE"""),"Custom: A Daughter's Punishment")</f>
        <v>Custom: A Daughter's Punishment</v>
      </c>
      <c r="D53" s="27" t="str">
        <f>IFERROR(__xludf.DUMMYFUNCTION("""COMPUTED_VALUE""")," I play a mom and you're dad. We have a daughter that needs a punishment and we decide turning her into our little fuck toy until we're sexually satisfied will teach her a lesson!")</f>
        <v> I play a mom and you're dad. We have a daughter that needs a punishment and we decide turning her into our little fuck toy until we're sexually satisfied will teach her a lesson!</v>
      </c>
      <c r="E53" s="27" t="str">
        <f>IFERROR(__xludf.DUMMYFUNCTION("""COMPUTED_VALUE"""),"ddlg, mdlg, accomplice, incest, kissing, rimming, oral, blow job sounds, spanking, flat chest slapping, deepthroat, force, tit smothering, choking, rough anal, face sitting/fucking, anal creampie, mention of anal gape")</f>
        <v>ddlg, mdlg, accomplice, incest, kissing, rimming, oral, blow job sounds, spanking, flat chest slapping, deepthroat, force, tit smothering, choking, rough anal, face sitting/fucking, anal creampie, mention of anal gape</v>
      </c>
    </row>
    <row r="54">
      <c r="A54" s="27">
        <f>IFERROR(__xludf.DUMMYFUNCTION("""COMPUTED_VALUE"""),165.0)</f>
        <v>165</v>
      </c>
      <c r="B54" s="57">
        <f>IFERROR(__xludf.DUMMYFUNCTION("""COMPUTED_VALUE"""),44884.0)</f>
        <v>44884</v>
      </c>
      <c r="C54" s="27" t="str">
        <f>IFERROR(__xludf.DUMMYFUNCTION("""COMPUTED_VALUE"""),"Silent Call: First Time Necro")</f>
        <v>Silent Call: First Time Necro</v>
      </c>
      <c r="D54" s="27" t="str">
        <f>IFERROR(__xludf.DUMMYFUNCTION("""COMPUTED_VALUE"""),"I'm your accomplice and you've snuffed before, but this time I encourage you to snuff and then necro fuck her throat.")</f>
        <v>I'm your accomplice and you've snuffed before, but this time I encourage you to snuff and then necro fuck her throat.</v>
      </c>
      <c r="E54" s="27" t="str">
        <f>IFERROR(__xludf.DUMMYFUNCTION("""COMPUTED_VALUE"""),"accomplice, bondage, no anal, choke, snuff, throat creampie")</f>
        <v>accomplice, bondage, no anal, choke, snuff, throat creampie</v>
      </c>
    </row>
    <row r="55">
      <c r="A55" s="27">
        <f>IFERROR(__xludf.DUMMYFUNCTION("""COMPUTED_VALUE"""),166.0)</f>
        <v>166</v>
      </c>
      <c r="B55" s="57">
        <f>IFERROR(__xludf.DUMMYFUNCTION("""COMPUTED_VALUE"""),44884.0)</f>
        <v>44884</v>
      </c>
      <c r="C55" s="27" t="str">
        <f>IFERROR(__xludf.DUMMYFUNCTION("""COMPUTED_VALUE"""),"Silent Call: Daddy's Brothel Visit")</f>
        <v>Silent Call: Daddy's Brothel Visit</v>
      </c>
      <c r="D55" s="27" t="str">
        <f>IFERROR(__xludf.DUMMYFUNCTION("""COMPUTED_VALUE"""),"You visit Madame Bea's brothel for the first time and you get a round of sluts to choose from before you bring one to the back room for one on one time. ")</f>
        <v>You visit Madame Bea's brothel for the first time and you get a round of sluts to choose from before you bring one to the back room for one on one time. </v>
      </c>
      <c r="E55" s="27" t="str">
        <f>IFERROR(__xludf.DUMMYFUNCTION("""COMPUTED_VALUE"""),"brothel, accomplice, lots of daddy name use, oral, missionary, creampie, deepthroat")</f>
        <v>brothel, accomplice, lots of daddy name use, oral, missionary, creampie, deepthroat</v>
      </c>
    </row>
    <row r="56">
      <c r="A56" s="27">
        <f>IFERROR(__xludf.DUMMYFUNCTION("""COMPUTED_VALUE"""),173.0)</f>
        <v>173</v>
      </c>
      <c r="B56" s="57">
        <f>IFERROR(__xludf.DUMMYFUNCTION("""COMPUTED_VALUE"""),44894.0)</f>
        <v>44894</v>
      </c>
      <c r="C56" s="27" t="str">
        <f>IFERROR(__xludf.DUMMYFUNCTION("""COMPUTED_VALUE"""),"Custom: Family Intrusion")</f>
        <v>Custom: Family Intrusion</v>
      </c>
      <c r="D56" s="27" t="str">
        <f>IFERROR(__xludf.DUMMYFUNCTION("""COMPUTED_VALUE""")," You are my boyfriend and we broke into a family's home and make them do unspeakable things to each other.")</f>
        <v> You are my boyfriend and we broke into a family's home and make them do unspeakable things to each other.</v>
      </c>
      <c r="E56" s="27" t="str">
        <f>IFERROR(__xludf.DUMMYFUNCTION("""COMPUTED_VALUE"""),"fdom, accomplice, evil encourager, incest, coersion, blackmail, oral, penetration, facial, squirt facial")</f>
        <v>fdom, accomplice, evil encourager, incest, coersion, blackmail, oral, penetration, facial, squirt facial</v>
      </c>
    </row>
    <row r="57">
      <c r="A57" s="27">
        <f>IFERROR(__xludf.DUMMYFUNCTION("""COMPUTED_VALUE"""),175.0)</f>
        <v>175</v>
      </c>
      <c r="B57" s="57">
        <f>IFERROR(__xludf.DUMMYFUNCTION("""COMPUTED_VALUE"""),44894.0)</f>
        <v>44894</v>
      </c>
      <c r="C57" s="27" t="str">
        <f>IFERROR(__xludf.DUMMYFUNCTION("""COMPUTED_VALUE"""),"Custom: Lolita Airlines")</f>
        <v>Custom: Lolita Airlines</v>
      </c>
      <c r="D57" s="27" t="str">
        <f>IFERROR(__xludf.DUMMYFUNCTION("""COMPUTED_VALUE"""),"You're a passenger on Lolita Airlines where all the crew members except the pilots are underage! I am your designated Lolita flight attendant and show you around your first flight with us.")</f>
        <v>You're a passenger on Lolita Airlines where all the crew members except the pilots are underage! I am your designated Lolita flight attendant and show you around your first flight with us.</v>
      </c>
      <c r="E57" s="27" t="str">
        <f>IFERROR(__xludf.DUMMYFUNCTION("""COMPUTED_VALUE"""),"airplane ambience, sexy flight attendants, sexually agressive, lg femdoms, bdsm, bukkake, gloryhole, gangbang, fucked unconscious, cowgirl, creampie ending, accomplice, pervert encouragement")</f>
        <v>airplane ambience, sexy flight attendants, sexually agressive, lg femdoms, bdsm, bukkake, gloryhole, gangbang, fucked unconscious, cowgirl, creampie ending, accomplice, pervert encouragement</v>
      </c>
    </row>
    <row r="58">
      <c r="A58" s="27">
        <f>IFERROR(__xludf.DUMMYFUNCTION("""COMPUTED_VALUE"""),183.0)</f>
        <v>183</v>
      </c>
      <c r="B58" s="57">
        <f>IFERROR(__xludf.DUMMYFUNCTION("""COMPUTED_VALUE"""),44902.0)</f>
        <v>44902</v>
      </c>
      <c r="C58" s="27" t="str">
        <f>IFERROR(__xludf.DUMMYFUNCTION("""COMPUTED_VALUE"""),"Script Fill: Mistress Playtime Pt 2")</f>
        <v>Script Fill: Mistress Playtime Pt 2</v>
      </c>
      <c r="D58" s="27" t="str">
        <f>IFERROR(__xludf.DUMMYFUNCTION("""COMPUTED_VALUE"""),"Your mistress takes you behind the bushes in a park where there's a cutie tied and bound. She coaches you through exactly what to do with her.")</f>
        <v>Your mistress takes you behind the bushes in a park where there's a cutie tied and bound. She coaches you through exactly what to do with her.</v>
      </c>
      <c r="E58" s="27" t="str">
        <f>IFERROR(__xludf.DUMMYFUNCTION("""COMPUTED_VALUE"""),"fdom, accomplice, rip clothes off, oral, gagged vocal sfx, penetration, fdom masturbates and moans, creampie, teasing, slave")</f>
        <v>fdom, accomplice, rip clothes off, oral, gagged vocal sfx, penetration, fdom masturbates and moans, creampie, teasing, slave</v>
      </c>
    </row>
    <row r="59">
      <c r="A59" s="27">
        <f>IFERROR(__xludf.DUMMYFUNCTION("""COMPUTED_VALUE"""),184.0)</f>
        <v>184</v>
      </c>
      <c r="B59" s="57">
        <f>IFERROR(__xludf.DUMMYFUNCTION("""COMPUTED_VALUE"""),44902.0)</f>
        <v>44902</v>
      </c>
      <c r="C59" s="27" t="str">
        <f>IFERROR(__xludf.DUMMYFUNCTION("""COMPUTED_VALUE"""),"Silent Call: Perv Daddy Encouragement")</f>
        <v>Silent Call: Perv Daddy Encouragement</v>
      </c>
      <c r="D59" s="27" t="str">
        <f>IFERROR(__xludf.DUMMYFUNCTION("""COMPUTED_VALUE""")," Trigger filled, perv encouragement silent call that focuses on taking you deeper and making your cock feel good.")</f>
        <v> Trigger filled, perv encouragement silent call that focuses on taking you deeper and making your cock feel good.</v>
      </c>
      <c r="E59" s="27" t="str">
        <f>IFERROR(__xludf.DUMMYFUNCTION("""COMPUTED_VALUE"""),"ddlg, goddess, accomplice, enabler, go deeper, pervert encouragement")</f>
        <v>ddlg, goddess, accomplice, enabler, go deeper, pervert encouragement</v>
      </c>
    </row>
    <row r="60">
      <c r="A60" s="27">
        <f>IFERROR(__xludf.DUMMYFUNCTION("""COMPUTED_VALUE"""),188.0)</f>
        <v>188</v>
      </c>
      <c r="B60" s="57">
        <f>IFERROR(__xludf.DUMMYFUNCTION("""COMPUTED_VALUE"""),44908.0)</f>
        <v>44908</v>
      </c>
      <c r="C60" s="27" t="str">
        <f>IFERROR(__xludf.DUMMYFUNCTION("""COMPUTED_VALUE"""),"Custom: Your Wife Accomplice")</f>
        <v>Custom: Your Wife Accomplice</v>
      </c>
      <c r="D60" s="27" t="str">
        <f>IFERROR(__xludf.DUMMYFUNCTION("""COMPUTED_VALUE"""),"I'm your wife and you've recently admitted to me what you are attracted to. I get wrapped up and fall down a depraved hole, insisting you come along with me. Your two nieces are in the plan.")</f>
        <v>I'm your wife and you've recently admitted to me what you are attracted to. I get wrapped up and fall down a depraved hole, insisting you come along with me. Your two nieces are in the plan.</v>
      </c>
      <c r="E60" s="27" t="str">
        <f>IFERROR(__xludf.DUMMYFUNCTION("""COMPUTED_VALUE"""),"handjob in bed, online perv chat, very light cuckold, light raceplay (white, BBC, Indian), molest, finger, gangbang, uncle/nieces, beast, accomplice")</f>
        <v>handjob in bed, online perv chat, very light cuckold, light raceplay (white, BBC, Indian), molest, finger, gangbang, uncle/nieces, beast, accomplice</v>
      </c>
    </row>
    <row r="61">
      <c r="A61" s="27">
        <f>IFERROR(__xludf.DUMMYFUNCTION("""COMPUTED_VALUE"""),190.0)</f>
        <v>190</v>
      </c>
      <c r="B61" s="57">
        <f>IFERROR(__xludf.DUMMYFUNCTION("""COMPUTED_VALUE"""),44911.0)</f>
        <v>44911</v>
      </c>
      <c r="C61" s="27" t="str">
        <f>IFERROR(__xludf.DUMMYFUNCTION("""COMPUTED_VALUE"""),"Custom: Daddy's 3 Day Old Gift")</f>
        <v>Custom: Daddy's 3 Day Old Gift</v>
      </c>
      <c r="D61" s="27" t="str">
        <f>IFERROR(__xludf.DUMMYFUNCTION("""COMPUTED_VALUE"""),"Me and you are new parents, just got home from the hospital and we enjoy our little gift finally.")</f>
        <v>Me and you are new parents, just got home from the hospital and we enjoy our little gift finally.</v>
      </c>
      <c r="E61" s="27" t="str">
        <f>IFERROR(__xludf.DUMMYFUNCTION("""COMPUTED_VALUE"""),"extreme ap, accomplice wife, pervy wife experience, all three holes, sucking sfx, anal creampie, mommy sucks it out, incest, inbreed mention")</f>
        <v>extreme ap, accomplice wife, pervy wife experience, all three holes, sucking sfx, anal creampie, mommy sucks it out, incest, inbreed mention</v>
      </c>
    </row>
    <row r="62">
      <c r="A62" s="27">
        <f>IFERROR(__xludf.DUMMYFUNCTION("""COMPUTED_VALUE"""),191.0)</f>
        <v>191</v>
      </c>
      <c r="B62" s="57">
        <f>IFERROR(__xludf.DUMMYFUNCTION("""COMPUTED_VALUE"""),44916.0)</f>
        <v>44916</v>
      </c>
      <c r="C62" s="27" t="str">
        <f>IFERROR(__xludf.DUMMYFUNCTION("""COMPUTED_VALUE"""),"Custom: Mommy &amp; Daddy's Toy")</f>
        <v>Custom: Mommy &amp; Daddy's Toy</v>
      </c>
      <c r="D62" s="27" t="str">
        <f>IFERROR(__xludf.DUMMYFUNCTION("""COMPUTED_VALUE"""),"You and I are parents to a tiny one. I corrupt you into using him as our little toy and it gets dark.")</f>
        <v>You and I are parents to a tiny one. I corrupt you into using him as our little toy and it gets dark.</v>
      </c>
      <c r="E62" s="27" t="str">
        <f>IFERROR(__xludf.DUMMYFUNCTION("""COMPUTED_VALUE"""),"corruption, accomplice, shota, yaoi, oral, anal, rimming, choking, extreme ap")</f>
        <v>corruption, accomplice, shota, yaoi, oral, anal, rimming, choking, extreme ap</v>
      </c>
    </row>
    <row r="63">
      <c r="A63" s="27">
        <f>IFERROR(__xludf.DUMMYFUNCTION("""COMPUTED_VALUE"""),192.0)</f>
        <v>192</v>
      </c>
      <c r="B63" s="57">
        <f>IFERROR(__xludf.DUMMYFUNCTION("""COMPUTED_VALUE"""),44916.0)</f>
        <v>44916</v>
      </c>
      <c r="C63" s="27" t="str">
        <f>IFERROR(__xludf.DUMMYFUNCTION("""COMPUTED_VALUE"""),"Custom: Nutcracker Handjob")</f>
        <v>Custom: Nutcracker Handjob</v>
      </c>
      <c r="D63" s="27" t="str">
        <f>IFERROR(__xludf.DUMMYFUNCTION("""COMPUTED_VALUE"""),"I'm your wife and we're in private balcony seats for the Nutcracker. I give you a handjob while I whisper filthy fantasies to you.")</f>
        <v>I'm your wife and we're in private balcony seats for the Nutcracker. I give you a handjob while I whisper filthy fantasies to you.</v>
      </c>
      <c r="E63" s="27" t="str">
        <f>IFERROR(__xludf.DUMMYFUNCTION("""COMPUTED_VALUE"""),"accomplice, pervy wife experience, handjob, ballerina, nutcracker music ambience, soft voice &amp; whispers, hold the moan, creampie mention, oral")</f>
        <v>accomplice, pervy wife experience, handjob, ballerina, nutcracker music ambience, soft voice &amp; whispers, hold the moan, creampie mention, oral</v>
      </c>
    </row>
    <row r="64">
      <c r="A64" s="27">
        <f>IFERROR(__xludf.DUMMYFUNCTION("""COMPUTED_VALUE"""),198.0)</f>
        <v>198</v>
      </c>
      <c r="B64" s="57">
        <f>IFERROR(__xludf.DUMMYFUNCTION("""COMPUTED_VALUE"""),44927.0)</f>
        <v>44927</v>
      </c>
      <c r="C64" s="27" t="str">
        <f>IFERROR(__xludf.DUMMYFUNCTION("""COMPUTED_VALUE"""),"Silent Call: Sweet, Encouraging, Nasty Girlfriend")</f>
        <v>Silent Call: Sweet, Encouraging, Nasty Girlfriend</v>
      </c>
      <c r="D64" s="27" t="str">
        <f>IFERROR(__xludf.DUMMYFUNCTION("""COMPUTED_VALUE"""),"(there's a disruption in the middle of the audio because we experienced a call drop) You're feeling down about your nasty fetishes until I come in and encourage you to lean into them and be nasty for me.")</f>
        <v>(there's a disruption in the middle of the audio because we experienced a call drop) You're feeling down about your nasty fetishes until I come in and encourage you to lean into them and be nasty for me.</v>
      </c>
      <c r="E64" s="27" t="str">
        <f>IFERROR(__xludf.DUMMYFUNCTION("""COMPUTED_VALUE"""),"pervy GFE, masturbation encouragement, filth encouragement, L bombs, get nastier for me, accomplice, throat fucking, choking, pervert encouragement")</f>
        <v>pervy GFE, masturbation encouragement, filth encouragement, L bombs, get nastier for me, accomplice, throat fucking, choking, pervert encouragement</v>
      </c>
    </row>
    <row r="65">
      <c r="A65" s="27">
        <f>IFERROR(__xludf.DUMMYFUNCTION("""COMPUTED_VALUE"""),200.0)</f>
        <v>200</v>
      </c>
      <c r="B65" s="57">
        <f>IFERROR(__xludf.DUMMYFUNCTION("""COMPUTED_VALUE"""),44929.0)</f>
        <v>44929</v>
      </c>
      <c r="C65" s="27" t="str">
        <f>IFERROR(__xludf.DUMMYFUNCTION("""COMPUTED_VALUE"""),"Custom: Honeymoon Brothel Part 1")</f>
        <v>Custom: Honeymoon Brothel Part 1</v>
      </c>
      <c r="D65" s="27" t="str">
        <f>IFERROR(__xludf.DUMMYFUNCTION("""COMPUTED_VALUE"""),"We just got married and are honeymooning in Vietnam so that we can fulfill our deepest, depraved fantasy for the first time.")</f>
        <v>We just got married and are honeymooning in Vietnam so that we can fulfill our deepest, depraved fantasy for the first time.</v>
      </c>
      <c r="E65" s="27" t="str">
        <f>IFERROR(__xludf.DUMMYFUNCTION("""COMPUTED_VALUE"""),"L bombs, pervy wife experience, brothel, asian slut, oral, female masturbation, no anal, doggy style, multiple orgasms, cock cleaning, creampie cleanup, accomplice, pervert encouragement")</f>
        <v>L bombs, pervy wife experience, brothel, asian slut, oral, female masturbation, no anal, doggy style, multiple orgasms, cock cleaning, creampie cleanup, accomplice, pervert encouragement</v>
      </c>
    </row>
    <row r="66">
      <c r="A66" s="27">
        <f>IFERROR(__xludf.DUMMYFUNCTION("""COMPUTED_VALUE"""),204.0)</f>
        <v>204</v>
      </c>
      <c r="B66" s="57">
        <f>IFERROR(__xludf.DUMMYFUNCTION("""COMPUTED_VALUE"""),44933.0)</f>
        <v>44933</v>
      </c>
      <c r="C66" s="27" t="str">
        <f>IFERROR(__xludf.DUMMYFUNCTION("""COMPUTED_VALUE"""),"Silent Call: Accomplice Brings Drugs")</f>
        <v>Silent Call: Accomplice Brings Drugs</v>
      </c>
      <c r="D66" s="27" t="str">
        <f>IFERROR(__xludf.DUMMYFUNCTION("""COMPUTED_VALUE"""),"I'm your accomplice and bring your favorite kind of toy but this time I think you need to experience an unconscious little toy (our connection cut out a couple times, so you'll hear where I had to stop and repeat the last thing said)")</f>
        <v>I'm your accomplice and bring your favorite kind of toy but this time I think you need to experience an unconscious little toy (our connection cut out a couple times, so you'll hear where I had to stop and repeat the last thing said)</v>
      </c>
      <c r="E66" s="27" t="str">
        <f>IFERROR(__xludf.DUMMYFUNCTION("""COMPUTED_VALUE"""),"accomplice, intoxication, unconscious, oral, deep throat, creampie mention, no anal, encouragement")</f>
        <v>accomplice, intoxication, unconscious, oral, deep throat, creampie mention, no anal, encouragement</v>
      </c>
    </row>
    <row r="67">
      <c r="A67" s="27">
        <f>IFERROR(__xludf.DUMMYFUNCTION("""COMPUTED_VALUE"""),205.0)</f>
        <v>205</v>
      </c>
      <c r="B67" s="57">
        <f>IFERROR(__xludf.DUMMYFUNCTION("""COMPUTED_VALUE"""),44935.0)</f>
        <v>44935</v>
      </c>
      <c r="C67" s="27" t="str">
        <f>IFERROR(__xludf.DUMMYFUNCTION("""COMPUTED_VALUE"""),"Silent Call: Sensual &amp; Consensual")</f>
        <v>Silent Call: Sensual &amp; Consensual</v>
      </c>
      <c r="D67" s="27" t="str">
        <f>IFERROR(__xludf.DUMMYFUNCTION("""COMPUTED_VALUE"""),"I tell a fantasy story about giving into your most inner desires.")</f>
        <v>I tell a fantasy story about giving into your most inner desires.</v>
      </c>
      <c r="E67" s="27" t="str">
        <f>IFERROR(__xludf.DUMMYFUNCTION("""COMPUTED_VALUE"""),"sensual, consensual sex, no anal, accomplice &amp; corrupting voice in your head, creampie ending, pervert encouragement")</f>
        <v>sensual, consensual sex, no anal, accomplice &amp; corrupting voice in your head, creampie ending, pervert encouragement</v>
      </c>
    </row>
    <row r="68">
      <c r="A68" s="27">
        <f>IFERROR(__xludf.DUMMYFUNCTION("""COMPUTED_VALUE"""),207.0)</f>
        <v>207</v>
      </c>
      <c r="B68" s="57">
        <f>IFERROR(__xludf.DUMMYFUNCTION("""COMPUTED_VALUE"""),44935.0)</f>
        <v>44935</v>
      </c>
      <c r="C68" s="27" t="str">
        <f>IFERROR(__xludf.DUMMYFUNCTION("""COMPUTED_VALUE"""),"Silent Call: Little Girl Harem")</f>
        <v>Silent Call: Little Girl Harem</v>
      </c>
      <c r="D68" s="27" t="str">
        <f>IFERROR(__xludf.DUMMYFUNCTION("""COMPUTED_VALUE"""),"I helped you collect a captured harem and explain your favorite dolls and how they've all adjusted to a life of your use.")</f>
        <v>I helped you collect a captured harem and explain your favorite dolls and how they've all adjusted to a life of your use.</v>
      </c>
      <c r="E68" s="27" t="str">
        <f>IFERROR(__xludf.DUMMYFUNCTION("""COMPUTED_VALUE"""),"accomplice, captured mind fucks, begging, small ddlg theme, oral, no anal, creampies, bratty girls")</f>
        <v>accomplice, captured mind fucks, begging, small ddlg theme, oral, no anal, creampies, bratty girls</v>
      </c>
    </row>
    <row r="69">
      <c r="A69" s="27">
        <f>IFERROR(__xludf.DUMMYFUNCTION("""COMPUTED_VALUE"""),222.0)</f>
        <v>222</v>
      </c>
      <c r="B69" s="57">
        <f>IFERROR(__xludf.DUMMYFUNCTION("""COMPUTED_VALUE"""),44951.0)</f>
        <v>44951</v>
      </c>
      <c r="C69" s="27" t="str">
        <f>IFERROR(__xludf.DUMMYFUNCTION("""COMPUTED_VALUE"""),"Custom: Honeymoon Brothel Part 2")</f>
        <v>Custom: Honeymoon Brothel Part 2</v>
      </c>
      <c r="D69" s="27" t="str">
        <f>IFERROR(__xludf.DUMMYFUNCTION("""COMPUTED_VALUE"""),"A couple just got married and are honeymooning in Vietnam where certain brothels are legal. They show up for their second visit. ")</f>
        <v>A couple just got married and are honeymooning in Vietnam where certain brothels are legal. They show up for their second visit. </v>
      </c>
      <c r="E69" s="27" t="str">
        <f>IFERROR(__xludf.DUMMYFUNCTION("""COMPUTED_VALUE"""),"female moans, corrupted, sadism, accomplice, femdom, oral, oral sfx, doggy style, missionary, face sitting, multiple orgasms, anal, anal creampie, creampie cleanup, pervert encouragement, accomplice")</f>
        <v>female moans, corrupted, sadism, accomplice, femdom, oral, oral sfx, doggy style, missionary, face sitting, multiple orgasms, anal, anal creampie, creampie cleanup, pervert encouragement, accomplice</v>
      </c>
    </row>
    <row r="70">
      <c r="A70" s="27">
        <f>IFERROR(__xludf.DUMMYFUNCTION("""COMPUTED_VALUE"""),223.0)</f>
        <v>223</v>
      </c>
      <c r="B70" s="57">
        <f>IFERROR(__xludf.DUMMYFUNCTION("""COMPUTED_VALUE"""),44951.0)</f>
        <v>44951</v>
      </c>
      <c r="C70" s="27" t="str">
        <f>IFERROR(__xludf.DUMMYFUNCTION("""COMPUTED_VALUE"""),"Custom: Forced Cam Show")</f>
        <v>Custom: Forced Cam Show</v>
      </c>
      <c r="D70" s="27" t="str">
        <f>IFERROR(__xludf.DUMMYFUNCTION("""COMPUTED_VALUE"""),"You're my partner and I am your accomplice. I gift you with a live forced incest show that I direct while stroking you. ")</f>
        <v>You're my partner and I am your accomplice. I gift you with a live forced incest show that I direct while stroking you. </v>
      </c>
      <c r="E70" s="27" t="str">
        <f>IFERROR(__xludf.DUMMYFUNCTION("""COMPUTED_VALUE"""),"accomplice, web cam show, DDlg, oral, incest, creampies, force, noncon")</f>
        <v>accomplice, web cam show, DDlg, oral, incest, creampies, force, noncon</v>
      </c>
    </row>
    <row r="71">
      <c r="A71" s="27">
        <f>IFERROR(__xludf.DUMMYFUNCTION("""COMPUTED_VALUE"""),230.0)</f>
        <v>230</v>
      </c>
      <c r="B71" s="57">
        <f>IFERROR(__xludf.DUMMYFUNCTION("""COMPUTED_VALUE"""),44958.0)</f>
        <v>44958</v>
      </c>
      <c r="C71" s="27" t="str">
        <f>IFERROR(__xludf.DUMMYFUNCTION("""COMPUTED_VALUE"""),"Girlfriend Makes You Pervier")</f>
        <v>Girlfriend Makes You Pervier</v>
      </c>
      <c r="D71" s="27" t="str">
        <f>IFERROR(__xludf.DUMMYFUNCTION("""COMPUTED_VALUE"""),"You invite me to help you babysit your niece. I secretly give you handjobs, teasing you with the possibilities. ")</f>
        <v>You invite me to help you babysit your niece. I secretly give you handjobs, teasing you with the possibilities. </v>
      </c>
      <c r="E71" s="27" t="str">
        <f>IFERROR(__xludf.DUMMYFUNCTION("""COMPUTED_VALUE"""),"secret handjob, lap sitting, uncle/niece, pervy gfe, tease, whispers, incest, accomplice, pervert encouragement")</f>
        <v>secret handjob, lap sitting, uncle/niece, pervy gfe, tease, whispers, incest, accomplice, pervert encouragement</v>
      </c>
    </row>
    <row r="72">
      <c r="A72" s="27">
        <f>IFERROR(__xludf.DUMMYFUNCTION("""COMPUTED_VALUE"""),231.0)</f>
        <v>231</v>
      </c>
      <c r="B72" s="57">
        <f>IFERROR(__xludf.DUMMYFUNCTION("""COMPUTED_VALUE"""),44960.0)</f>
        <v>44960</v>
      </c>
      <c r="C72" s="27" t="str">
        <f>IFERROR(__xludf.DUMMYFUNCTION("""COMPUTED_VALUE"""),"Silent Call Perv Encouraging Girlfriend Experience")</f>
        <v>Silent Call Perv Encouraging Girlfriend Experience</v>
      </c>
      <c r="D72" s="27" t="str">
        <f>IFERROR(__xludf.DUMMYFUNCTION("""COMPUTED_VALUE"""),"Let me role-play as your girlfriend who encourages you to be the pervert you are, coming up with ideas to satisfy your desires. ")</f>
        <v>Let me role-play as your girlfriend who encourages you to be the pervert you are, coming up with ideas to satisfy your desires. </v>
      </c>
      <c r="E72" s="27" t="str">
        <f>IFERROR(__xludf.DUMMYFUNCTION("""COMPUTED_VALUE"""),"pervy gfe, throat use, porn, noncon, pervert encouragement, accomplice")</f>
        <v>pervy gfe, throat use, porn, noncon, pervert encouragement, accomplice</v>
      </c>
    </row>
    <row r="73">
      <c r="A73" s="27">
        <f>IFERROR(__xludf.DUMMYFUNCTION("""COMPUTED_VALUE"""),237.0)</f>
        <v>237</v>
      </c>
      <c r="B73" s="57">
        <f>IFERROR(__xludf.DUMMYFUNCTION("""COMPUTED_VALUE"""),44967.0)</f>
        <v>44967</v>
      </c>
      <c r="C73" s="27" t="str">
        <f>IFERROR(__xludf.DUMMYFUNCTION("""COMPUTED_VALUE"""),"Custom: Valentine's Day Gift")</f>
        <v>Custom: Valentine's Day Gift</v>
      </c>
      <c r="D73" s="27" t="str">
        <f>IFERROR(__xludf.DUMMYFUNCTION("""COMPUTED_VALUE"""),"I am your girlfriend and we come back to a hotel room after Valentine’s Day dinner out where I blindfold and introduce another guest into our room, one that satisfies your biggest perverted fantasy.")</f>
        <v>I am your girlfriend and we come back to a hotel room after Valentine’s Day dinner out where I blindfold and introduce another guest into our room, one that satisfies your biggest perverted fantasy.</v>
      </c>
      <c r="E73" s="27" t="str">
        <f>IFERROR(__xludf.DUMMYFUNCTION("""COMPUTED_VALUE"""),"pervy girlfriend experience, threesome, kissing, oral, rimming, cowgirl, doggy style, creampe, creampie cleanup, squirting on her face, accomplice, pervert encouragement")</f>
        <v>pervy girlfriend experience, threesome, kissing, oral, rimming, cowgirl, doggy style, creampe, creampie cleanup, squirting on her face, accomplice, pervert encouragement</v>
      </c>
    </row>
    <row r="74">
      <c r="A74" s="27">
        <f>IFERROR(__xludf.DUMMYFUNCTION("""COMPUTED_VALUE"""),240.0)</f>
        <v>240</v>
      </c>
      <c r="B74" s="57">
        <f>IFERROR(__xludf.DUMMYFUNCTION("""COMPUTED_VALUE"""),44972.0)</f>
        <v>44972</v>
      </c>
      <c r="C74" s="27" t="str">
        <f>IFERROR(__xludf.DUMMYFUNCTION("""COMPUTED_VALUE"""),"Custom: First Date w/Miss Bea")</f>
        <v>Custom: First Date w/Miss Bea</v>
      </c>
      <c r="D74" s="27" t="str">
        <f>IFERROR(__xludf.DUMMYFUNCTION("""COMPUTED_VALUE"""),"This commission is me explaining what it would be like to go on a first date with Miss Bea, in the most realistic, fucked up ways. ")</f>
        <v>This commission is me explaining what it would be like to go on a first date with Miss Bea, in the most realistic, fucked up ways. </v>
      </c>
      <c r="E74" s="27" t="str">
        <f>IFERROR(__xludf.DUMMYFUNCTION("""COMPUTED_VALUE"""),"slut life, oral, facial, doggy style, social media browsing, handjob, cum eating, playground, porn browsing, accomplice, strip club, sex doll, roleplay, accomplice")</f>
        <v>slut life, oral, facial, doggy style, social media browsing, handjob, cum eating, playground, porn browsing, accomplice, strip club, sex doll, roleplay, accomplice</v>
      </c>
    </row>
    <row r="75">
      <c r="A75" s="27">
        <f>IFERROR(__xludf.DUMMYFUNCTION("""COMPUTED_VALUE"""),245.0)</f>
        <v>245</v>
      </c>
      <c r="B75" s="57">
        <f>IFERROR(__xludf.DUMMYFUNCTION("""COMPUTED_VALUE"""),44979.0)</f>
        <v>44979</v>
      </c>
      <c r="C75" s="27" t="str">
        <f>IFERROR(__xludf.DUMMYFUNCTION("""COMPUTED_VALUE"""),"Custom: Perverted Cuckquean Foursome")</f>
        <v>Custom: Perverted Cuckquean Foursome</v>
      </c>
      <c r="D75" s="27" t="str">
        <f>IFERROR(__xludf.DUMMYFUNCTION("""COMPUTED_VALUE"""),"I am the third in a cuckquean setting, the listener being the boyfriend. In the middle of us playing, I bring in my daughter to the scenario and make it a foursome. ")</f>
        <v>I am the third in a cuckquean setting, the listener being the boyfriend. In the middle of us playing, I bring in my daughter to the scenario and make it a foursome. </v>
      </c>
      <c r="E75" s="27" t="str">
        <f>IFERROR(__xludf.DUMMYFUNCTION("""COMPUTED_VALUE"""),"cuckquean, kissing sfx, oral sfx, female masturbation, female moans, group sex, facial ending, accomplice")</f>
        <v>cuckquean, kissing sfx, oral sfx, female masturbation, female moans, group sex, facial ending, accomplice</v>
      </c>
    </row>
    <row r="76">
      <c r="A76" s="27">
        <f>IFERROR(__xludf.DUMMYFUNCTION("""COMPUTED_VALUE"""),249.0)</f>
        <v>249</v>
      </c>
      <c r="B76" s="57">
        <f>IFERROR(__xludf.DUMMYFUNCTION("""COMPUTED_VALUE"""),44984.0)</f>
        <v>44984</v>
      </c>
      <c r="C76" s="27" t="str">
        <f>IFERROR(__xludf.DUMMYFUNCTION("""COMPUTED_VALUE"""),"Silent Call: She's Sleeping")</f>
        <v>Silent Call: She's Sleeping</v>
      </c>
      <c r="D76" s="27" t="str">
        <f>IFERROR(__xludf.DUMMYFUNCTION("""COMPUTED_VALUE"""),"She’s sleeping and I’m that evil accomplice voice in your head. ")</f>
        <v>She’s sleeping and I’m that evil accomplice voice in your head. </v>
      </c>
      <c r="E76" s="27" t="str">
        <f>IFERROR(__xludf.DUMMYFUNCTION("""COMPUTED_VALUE"""),"accomplice, sleeping girl, missionary, no oral, no anal, creampie ending, pervert encouragement")</f>
        <v>accomplice, sleeping girl, missionary, no oral, no anal, creampie ending, pervert encouragement</v>
      </c>
    </row>
    <row r="77">
      <c r="A77" s="27">
        <f>IFERROR(__xludf.DUMMYFUNCTION("""COMPUTED_VALUE"""),250.0)</f>
        <v>250</v>
      </c>
      <c r="B77" s="57">
        <f>IFERROR(__xludf.DUMMYFUNCTION("""COMPUTED_VALUE"""),44986.0)</f>
        <v>44986</v>
      </c>
      <c r="C77" s="27" t="str">
        <f>IFERROR(__xludf.DUMMYFUNCTION("""COMPUTED_VALUE"""),"Custom Mom Snuff Accomplice")</f>
        <v>Custom Mom Snuff Accomplice</v>
      </c>
      <c r="D77" s="27" t="str">
        <f>IFERROR(__xludf.DUMMYFUNCTION("""COMPUTED_VALUE"""),"A mother finds an intruder in her house in the midst of extreme use of her daughters and can’t help but get turned on and help…and then beg for her own snuff ending.")</f>
        <v>A mother finds an intruder in her house in the midst of extreme use of her daughters and can’t help but get turned on and help…and then beg for her own snuff ending.</v>
      </c>
      <c r="E77" s="27" t="str">
        <f>IFERROR(__xludf.DUMMYFUNCTION("""COMPUTED_VALUE"""),"accomplice, bad mom, female masturbation, choking, snuff heavy, noncon, begging, female moans, bone breaking sfx, choking sfx, snuff")</f>
        <v>accomplice, bad mom, female masturbation, choking, snuff heavy, noncon, begging, female moans, bone breaking sfx, choking sfx, snuff</v>
      </c>
    </row>
    <row r="78">
      <c r="A78" s="27">
        <f>IFERROR(__xludf.DUMMYFUNCTION("""COMPUTED_VALUE"""),253.0)</f>
        <v>253</v>
      </c>
      <c r="B78" s="57">
        <f>IFERROR(__xludf.DUMMYFUNCTION("""COMPUTED_VALUE"""),44991.0)</f>
        <v>44991</v>
      </c>
      <c r="C78" s="27" t="str">
        <f>IFERROR(__xludf.DUMMYFUNCTION("""COMPUTED_VALUE"""),"Silent Call: Encouraging Perv GF")</f>
        <v>Silent Call: Encouraging Perv GF</v>
      </c>
      <c r="D78" s="27" t="str">
        <f>IFERROR(__xludf.DUMMYFUNCTION("""COMPUTED_VALUE"""),"I play as your girlfriend and dig into what your true desires are, encouraging you to be as sick and twisted as you want to be")</f>
        <v>I play as your girlfriend and dig into what your true desires are, encouraging you to be as sick and twisted as you want to be</v>
      </c>
      <c r="E78" s="27" t="str">
        <f>IFERROR(__xludf.DUMMYFUNCTION("""COMPUTED_VALUE"""),"accomplice, pervy gfe, noncon, perv encouragement, choking, pervert encouragement")</f>
        <v>accomplice, pervy gfe, noncon, perv encouragement, choking, pervert encouragement</v>
      </c>
    </row>
    <row r="79">
      <c r="A79" s="27">
        <f>IFERROR(__xludf.DUMMYFUNCTION("""COMPUTED_VALUE"""),256.0)</f>
        <v>256</v>
      </c>
      <c r="B79" s="57">
        <f>IFERROR(__xludf.DUMMYFUNCTION("""COMPUTED_VALUE"""),44994.0)</f>
        <v>44994</v>
      </c>
      <c r="C79" s="27" t="str">
        <f>IFERROR(__xludf.DUMMYFUNCTION("""COMPUTED_VALUE"""),"Silent Call: Accomplice 5")</f>
        <v>Silent Call: Accomplice 5</v>
      </c>
      <c r="D79" s="27" t="str">
        <f>IFERROR(__xludf.DUMMYFUNCTION("""COMPUTED_VALUE"""),"I help source a cutie for you to enjoy and instruct you on what to do. ")</f>
        <v>I help source a cutie for you to enjoy and instruct you on what to do. </v>
      </c>
      <c r="E79" s="27" t="str">
        <f>IFERROR(__xludf.DUMMYFUNCTION("""COMPUTED_VALUE"""),"accomplice, oral, all three holes, watersports, anal creampie")</f>
        <v>accomplice, oral, all three holes, watersports, anal creampie</v>
      </c>
    </row>
    <row r="80">
      <c r="A80" s="27">
        <f>IFERROR(__xludf.DUMMYFUNCTION("""COMPUTED_VALUE"""),257.0)</f>
        <v>257</v>
      </c>
      <c r="B80" s="57">
        <f>IFERROR(__xludf.DUMMYFUNCTION("""COMPUTED_VALUE"""),44994.0)</f>
        <v>44994</v>
      </c>
      <c r="C80" s="27" t="str">
        <f>IFERROR(__xludf.DUMMYFUNCTION("""COMPUTED_VALUE"""),"Silent Call: Aryan Princess")</f>
        <v>Silent Call: Aryan Princess</v>
      </c>
      <c r="D80" s="27" t="str">
        <f>IFERROR(__xludf.DUMMYFUNCTION("""COMPUTED_VALUE"""),"Accomplice style. Listener is teased with his biggest weakness. Heavy raceplay.")</f>
        <v>Accomplice style. Listener is teased with his biggest weakness. Heavy raceplay.</v>
      </c>
      <c r="E80" s="27" t="str">
        <f>IFERROR(__xludf.DUMMYFUNCTION("""COMPUTED_VALUE"""),"accomplice, raceplay, oral, all three holes, noncon")</f>
        <v>accomplice, raceplay, oral, all three holes, noncon</v>
      </c>
    </row>
    <row r="81">
      <c r="A81" s="27">
        <f>IFERROR(__xludf.DUMMYFUNCTION("""COMPUTED_VALUE"""),258.0)</f>
        <v>258</v>
      </c>
      <c r="B81" s="57">
        <f>IFERROR(__xludf.DUMMYFUNCTION("""COMPUTED_VALUE"""),44995.0)</f>
        <v>44995</v>
      </c>
      <c r="C81" s="27" t="str">
        <f>IFERROR(__xludf.DUMMYFUNCTION("""COMPUTED_VALUE"""),"Mom Makes Daughter Famous")</f>
        <v>Mom Makes Daughter Famous</v>
      </c>
      <c r="D81" s="27" t="str">
        <f>IFERROR(__xludf.DUMMYFUNCTION("""COMPUTED_VALUE"""),"I role-play as a mom that gets wrapped up in making her daughter more famous and popular online, ending with her and her husband getting off to what’s happening.")</f>
        <v>I role-play as a mom that gets wrapped up in making her daughter more famous and popular online, ending with her and her husband getting off to what’s happening.</v>
      </c>
      <c r="E81" s="27" t="str">
        <f>IFERROR(__xludf.DUMMYFUNCTION("""COMPUTED_VALUE"""),"accomplice, obsessed mom, dancer, corruption, wife handjob, dirty talk, internal dialogue")</f>
        <v>accomplice, obsessed mom, dancer, corruption, wife handjob, dirty talk, internal dialogue</v>
      </c>
    </row>
    <row r="82">
      <c r="A82" s="27">
        <f>IFERROR(__xludf.DUMMYFUNCTION("""COMPUTED_VALUE"""),270.0)</f>
        <v>270</v>
      </c>
      <c r="B82" s="57">
        <f>IFERROR(__xludf.DUMMYFUNCTION("""COMPUTED_VALUE"""),45009.0)</f>
        <v>45009</v>
      </c>
      <c r="C82" s="27" t="str">
        <f>IFERROR(__xludf.DUMMYFUNCTION("""COMPUTED_VALUE"""),"Custom: Accomplice GF Gives You a Harem")</f>
        <v>Custom: Accomplice GF Gives You a Harem</v>
      </c>
      <c r="D82" s="27" t="str">
        <f>IFERROR(__xludf.DUMMYFUNCTION("""COMPUTED_VALUE"""),"Your girlfriend takes advantage of a situation that ends up gifting you an enslaved group of fuck toys to keep in the basement. ")</f>
        <v>Your girlfriend takes advantage of a situation that ends up gifting you an enslaved group of fuck toys to keep in the basement. </v>
      </c>
      <c r="E82" s="27" t="str">
        <f>IFERROR(__xludf.DUMMYFUNCTION("""COMPUTED_VALUE"""),"accomplice, sex slaves, twins, oral, noncon, two creampies, anal &amp; pussy, dirty talk")</f>
        <v>accomplice, sex slaves, twins, oral, noncon, two creampies, anal &amp; pussy, dirty talk</v>
      </c>
    </row>
    <row r="83">
      <c r="A83" s="27">
        <f>IFERROR(__xludf.DUMMYFUNCTION("""COMPUTED_VALUE"""),273.0)</f>
        <v>273</v>
      </c>
      <c r="B83" s="57">
        <f>IFERROR(__xludf.DUMMYFUNCTION("""COMPUTED_VALUE"""),45013.0)</f>
        <v>45013</v>
      </c>
      <c r="C83" s="27" t="str">
        <f>IFERROR(__xludf.DUMMYFUNCTION("""COMPUTED_VALUE"""),"Custom: A Doctor's Nurse Accomplice")</f>
        <v>Custom: A Doctor's Nurse Accomplice</v>
      </c>
      <c r="D83" s="27" t="str">
        <f>IFERROR(__xludf.DUMMYFUNCTION("""COMPUTED_VALUE"""),"A Nurse helps a doctor perform a perverse scene, taking advantage of a delicate situation.")</f>
        <v>A Nurse helps a doctor perform a perverse scene, taking advantage of a delicate situation.</v>
      </c>
      <c r="E83" s="27" t="str">
        <f>IFERROR(__xludf.DUMMYFUNCTION("""COMPUTED_VALUE"""),"accomplice, single mother, noncon, forced to watch, sadist, oral, nipple clamps, stirrups &amp; speculum, cervix torture, mouth gag, creampie")</f>
        <v>accomplice, single mother, noncon, forced to watch, sadist, oral, nipple clamps, stirrups &amp; speculum, cervix torture, mouth gag, creampie</v>
      </c>
    </row>
    <row r="84">
      <c r="A84" s="27">
        <f>IFERROR(__xludf.DUMMYFUNCTION("""COMPUTED_VALUE"""),281.0)</f>
        <v>281</v>
      </c>
      <c r="B84" s="57">
        <f>IFERROR(__xludf.DUMMYFUNCTION("""COMPUTED_VALUE"""),45021.0)</f>
        <v>45021</v>
      </c>
      <c r="C84" s="27" t="str">
        <f>IFERROR(__xludf.DUMMYFUNCTION("""COMPUTED_VALUE"""),"Custom: Bad Mommy Accomplice")</f>
        <v>Custom: Bad Mommy Accomplice</v>
      </c>
      <c r="D84" s="27" t="str">
        <f>IFERROR(__xludf.DUMMYFUNCTION("""COMPUTED_VALUE"""),"I role-play as a bad mom, desperate for rent money and offer the listener a deal if he helps me out. ")</f>
        <v>I role-play as a bad mom, desperate for rent money and offer the listener a deal if he helps me out. </v>
      </c>
      <c r="E84" s="27" t="str">
        <f>IFERROR(__xludf.DUMMYFUNCTION("""COMPUTED_VALUE"""),"bad mom, accomplice, racial slur, raceplay, creampie")</f>
        <v>bad mom, accomplice, racial slur, raceplay, creampie</v>
      </c>
    </row>
    <row r="85">
      <c r="A85" s="27">
        <f>IFERROR(__xludf.DUMMYFUNCTION("""COMPUTED_VALUE"""),288.0)</f>
        <v>288</v>
      </c>
      <c r="B85" s="57">
        <f>IFERROR(__xludf.DUMMYFUNCTION("""COMPUTED_VALUE"""),45029.0)</f>
        <v>45029</v>
      </c>
      <c r="C85" s="27" t="str">
        <f>IFERROR(__xludf.DUMMYFUNCTION("""COMPUTED_VALUE"""),"Silent Call: Accomplice Knows What You Want")</f>
        <v>Silent Call: Accomplice Knows What You Want</v>
      </c>
      <c r="D85" s="27" t="str">
        <f>IFERROR(__xludf.DUMMYFUNCTION("""COMPUTED_VALUE"""),"You’ve got perverted, depraved desires that only I know about. I know what you need and crave to hear.")</f>
        <v>You’ve got perverted, depraved desires that only I know about. I know what you need and crave to hear.</v>
      </c>
      <c r="E85" s="27" t="str">
        <f>IFERROR(__xludf.DUMMYFUNCTION("""COMPUTED_VALUE"""),"accomplice, perv encouragement, no oral, no anal, creampie, pervert encouragement")</f>
        <v>accomplice, perv encouragement, no oral, no anal, creampie, pervert encouragement</v>
      </c>
    </row>
    <row r="86">
      <c r="A86" s="27">
        <f>IFERROR(__xludf.DUMMYFUNCTION("""COMPUTED_VALUE"""),289.0)</f>
        <v>289</v>
      </c>
      <c r="B86" s="57">
        <f>IFERROR(__xludf.DUMMYFUNCTION("""COMPUTED_VALUE"""),45032.0)</f>
        <v>45032</v>
      </c>
      <c r="C86" s="27" t="str">
        <f>IFERROR(__xludf.DUMMYFUNCTION("""COMPUTED_VALUE"""),"Silent Call: Silent Call: Twisted Caring Accomplice GF")</f>
        <v>Silent Call: Silent Call: Twisted Caring Accomplice GF</v>
      </c>
      <c r="D86" s="27" t="str">
        <f>IFERROR(__xludf.DUMMYFUNCTION("""COMPUTED_VALUE"""),"You revealed your secret fetish to me already so I decide to be a good girlfriend and gift you a cutie. ")</f>
        <v>You revealed your secret fetish to me already so I decide to be a good girlfriend and gift you a cutie. </v>
      </c>
      <c r="E86" s="27" t="str">
        <f>IFERROR(__xludf.DUMMYFUNCTION("""COMPUTED_VALUE"""),"pervy gfe, accomplice, forced intoxication, unconscious, but wakes up, snuff, necr0")</f>
        <v>pervy gfe, accomplice, forced intoxication, unconscious, but wakes up, snuff, necr0</v>
      </c>
    </row>
    <row r="87">
      <c r="A87" s="27">
        <f>IFERROR(__xludf.DUMMYFUNCTION("""COMPUTED_VALUE"""),290.0)</f>
        <v>290</v>
      </c>
      <c r="B87" s="57">
        <f>IFERROR(__xludf.DUMMYFUNCTION("""COMPUTED_VALUE"""),45034.0)</f>
        <v>45034</v>
      </c>
      <c r="C87" s="27" t="str">
        <f>IFERROR(__xludf.DUMMYFUNCTION("""COMPUTED_VALUE"""),"Custom: DDlg Blackmail")</f>
        <v>Custom: DDlg Blackmail</v>
      </c>
      <c r="D87" s="27" t="str">
        <f>IFERROR(__xludf.DUMMYFUNCTION("""COMPUTED_VALUE"""),"I’m your loving girlfriend that’s encourage your ddlg fantasies and we’ve had a lot of kinky fun. I reveal to you that all those kinky dares I gave you to prove you’re a secret perv dad are now ammunition for me to force you into doing something super fuc"&amp;"ked up mostly for my pleasure. ")</f>
        <v>I’m your loving girlfriend that’s encourage your ddlg fantasies and we’ve had a lot of kinky fun. I reveal to you that all those kinky dares I gave you to prove you’re a secret perv dad are now ammunition for me to force you into doing something super fucked up mostly for my pleasure. </v>
      </c>
      <c r="E87" s="27" t="str">
        <f>IFERROR(__xludf.DUMMYFUNCTION("""COMPUTED_VALUE"""),"DDlg, pervy gfe, dirty talk, panty sniffing, cum tributes, blackmail threats, accomplice, noncon, devious corruption, intoxication, breeding, incest")</f>
        <v>DDlg, pervy gfe, dirty talk, panty sniffing, cum tributes, blackmail threats, accomplice, noncon, devious corruption, intoxication, breeding, incest</v>
      </c>
    </row>
    <row r="88">
      <c r="A88" s="27">
        <f>IFERROR(__xludf.DUMMYFUNCTION("""COMPUTED_VALUE"""),291.0)</f>
        <v>291</v>
      </c>
      <c r="B88" s="57">
        <f>IFERROR(__xludf.DUMMYFUNCTION("""COMPUTED_VALUE"""),45034.0)</f>
        <v>45034</v>
      </c>
      <c r="C88" s="27" t="str">
        <f>IFERROR(__xludf.DUMMYFUNCTION("""COMPUTED_VALUE"""),"Custom: New Daddy Promises")</f>
        <v>Custom: New Daddy Promises</v>
      </c>
      <c r="D88" s="27" t="str">
        <f>IFERROR(__xludf.DUMMYFUNCTION("""COMPUTED_VALUE"""),"I’m your loving girlfriend that’s so excited to marry you. I tell you my plans to ensure you have a total of three cock dolls in our home, becoming my girls’ new daddy. ")</f>
        <v>I’m your loving girlfriend that’s so excited to marry you. I tell you my plans to ensure you have a total of three cock dolls in our home, becoming my girls’ new daddy. </v>
      </c>
      <c r="E88" s="27" t="str">
        <f>IFERROR(__xludf.DUMMYFUNCTION("""COMPUTED_VALUE"""),"DDlg, pervy gfe, training, accomplice, bad (good) mommy, encouraging, oral, cum in mouth, handjob, cum in hair, twins")</f>
        <v>DDlg, pervy gfe, training, accomplice, bad (good) mommy, encouraging, oral, cum in mouth, handjob, cum in hair, twins</v>
      </c>
    </row>
    <row r="89">
      <c r="A89" s="27">
        <f>IFERROR(__xludf.DUMMYFUNCTION("""COMPUTED_VALUE"""),292.0)</f>
        <v>292</v>
      </c>
      <c r="B89" s="57">
        <f>IFERROR(__xludf.DUMMYFUNCTION("""COMPUTED_VALUE"""),45035.0)</f>
        <v>45035</v>
      </c>
      <c r="C89" s="27" t="str">
        <f>IFERROR(__xludf.DUMMYFUNCTION("""COMPUTED_VALUE"""),"Script Fill: Amy &amp; The Stash of Ero Lit")</f>
        <v>Script Fill: Amy &amp; The Stash of Ero Lit</v>
      </c>
      <c r="D89" s="27" t="str">
        <f>IFERROR(__xludf.DUMMYFUNCTION("""COMPUTED_VALUE"""),"Amy is stepdaughter and you are our neighbor who loaned us your laptop. I caught Amy rubbing to your naughty AP erotica stories and decided that I bring the two of you together when returning your laptop. ")</f>
        <v>Amy is stepdaughter and you are our neighbor who loaned us your laptop. I caught Amy rubbing to your naughty AP erotica stories and decided that I bring the two of you together when returning your laptop. </v>
      </c>
      <c r="E89" s="27" t="str">
        <f>IFERROR(__xludf.DUMMYFUNCTION("""COMPUTED_VALUE"""),"accomplice, female masturbation, erotica, oral, bad stepmom, breeding, creampie")</f>
        <v>accomplice, female masturbation, erotica, oral, bad stepmom, breeding, creampie</v>
      </c>
    </row>
    <row r="90">
      <c r="A90" s="27">
        <f>IFERROR(__xludf.DUMMYFUNCTION("""COMPUTED_VALUE"""),295.0)</f>
        <v>295</v>
      </c>
      <c r="B90" s="57">
        <f>IFERROR(__xludf.DUMMYFUNCTION("""COMPUTED_VALUE"""),45040.0)</f>
        <v>45040</v>
      </c>
      <c r="C90" s="27" t="str">
        <f>IFERROR(__xludf.DUMMYFUNCTION("""COMPUTED_VALUE"""),"Custom: Bad Mom Helps")</f>
        <v>Custom: Bad Mom Helps</v>
      </c>
      <c r="D90" s="27" t="str">
        <f>IFERROR(__xludf.DUMMYFUNCTION("""COMPUTED_VALUE"""),"You’re my boyfriend and we’ve been roleplaying for a while. I’m ready to turn this into reality. ")</f>
        <v>You’re my boyfriend and we’ve been roleplaying for a while. I’m ready to turn this into reality. </v>
      </c>
      <c r="E90" s="27" t="str">
        <f>IFERROR(__xludf.DUMMYFUNCTION("""COMPUTED_VALUE"""),"accomplice, bondage, blindfold, all three holes, anal creampie")</f>
        <v>accomplice, bondage, blindfold, all three holes, anal creampie</v>
      </c>
    </row>
    <row r="91">
      <c r="A91" s="27">
        <f>IFERROR(__xludf.DUMMYFUNCTION("""COMPUTED_VALUE"""),296.0)</f>
        <v>296</v>
      </c>
      <c r="B91" s="57">
        <f>IFERROR(__xludf.DUMMYFUNCTION("""COMPUTED_VALUE"""),45042.0)</f>
        <v>45042</v>
      </c>
      <c r="C91" s="27" t="str">
        <f>IFERROR(__xludf.DUMMYFUNCTION("""COMPUTED_VALUE"""),"Silent Call: Dream Accomplice")</f>
        <v>Silent Call: Dream Accomplice</v>
      </c>
      <c r="D91" s="27" t="str">
        <f>IFERROR(__xludf.DUMMYFUNCTION("""COMPUTED_VALUE"""),"I’m a psychologist that studies dreams and the mind and also your sister. You’ve been having fever dreams and can’t figure what’s happening. I have a device that lets me look into the mind and see what people are dreaming about so I come over and hook you"&amp;" up to it. What I see is shocking, yet to my surprise, I get into it.  ")</f>
        <v>I’m a psychologist that studies dreams and the mind and also your sister. You’ve been having fever dreams and can’t figure what’s happening. I have a device that lets me look into the mind and see what people are dreaming about so I come over and hook you up to it. What I see is shocking, yet to my surprise, I get into it.  </v>
      </c>
      <c r="E91" s="27" t="str">
        <f>IFERROR(__xludf.DUMMYFUNCTION("""COMPUTED_VALUE"""),"bro/sis, uncle/niece, lingerie, strip tease, accomplice, oral, breeding mention, incest, cum countdown")</f>
        <v>bro/sis, uncle/niece, lingerie, strip tease, accomplice, oral, breeding mention, incest, cum countdown</v>
      </c>
    </row>
    <row r="92">
      <c r="A92" s="27">
        <f>IFERROR(__xludf.DUMMYFUNCTION("""COMPUTED_VALUE"""),298.0)</f>
        <v>298</v>
      </c>
      <c r="B92" s="57">
        <f>IFERROR(__xludf.DUMMYFUNCTION("""COMPUTED_VALUE"""),45044.0)</f>
        <v>45044</v>
      </c>
      <c r="C92" s="27" t="str">
        <f>IFERROR(__xludf.DUMMYFUNCTION("""COMPUTED_VALUE"""),"Custom: Evil Mistress Enslaves A Pervert")</f>
        <v>Custom: Evil Mistress Enslaves A Pervert</v>
      </c>
      <c r="D92" s="27" t="str">
        <f>IFERROR(__xludf.DUMMYFUNCTION("""COMPUTED_VALUE"""),"You’ve been my submissive/slave for a while, roleplaying with me with your sickest desires. I’ve got you by the balls and use a little bit of brainwashing hypnosis, intoxication, and blackmail threats to get you to cross the ultimate line for me. ")</f>
        <v>You’ve been my submissive/slave for a while, roleplaying with me with your sickest desires. I’ve got you by the balls and use a little bit of brainwashing hypnosis, intoxication, and blackmail threats to get you to cross the ultimate line for me. </v>
      </c>
      <c r="E92" s="27" t="str">
        <f>IFERROR(__xludf.DUMMYFUNCTION("""COMPUTED_VALUE"""),"femdom, corruption, noncon, hypno, into, blackmail, extreme, accomplice")</f>
        <v>femdom, corruption, noncon, hypno, into, blackmail, extreme, accomplice</v>
      </c>
    </row>
    <row r="93">
      <c r="A93" s="27">
        <f>IFERROR(__xludf.DUMMYFUNCTION("""COMPUTED_VALUE"""),300.0)</f>
        <v>300</v>
      </c>
      <c r="B93" s="57">
        <f>IFERROR(__xludf.DUMMYFUNCTION("""COMPUTED_VALUE"""),45044.0)</f>
        <v>45044</v>
      </c>
      <c r="C93" s="27" t="str">
        <f>IFERROR(__xludf.DUMMYFUNCTION("""COMPUTED_VALUE"""),"Custom: Daddy Helps Punish Daughter’s Bullies")</f>
        <v>Custom: Daddy Helps Punish Daughter’s Bullies</v>
      </c>
      <c r="D93" s="27" t="str">
        <f>IFERROR(__xludf.DUMMYFUNCTION("""COMPUTED_VALUE"""),"A group of girls have been bullying me, so I trick them into coming over for a sleepover, only to have me and daddy teach them a lesson!")</f>
        <v>A group of girls have been bullying me, so I trick them into coming over for a sleepover, only to have me and daddy teach them a lesson!</v>
      </c>
      <c r="E93" s="27" t="str">
        <f>IFERROR(__xludf.DUMMYFUNCTION("""COMPUTED_VALUE"""),"noncon, DDlg, bully punishment, mouth fucking, empty stomach for cock, sadistic, daddy’s girl, anal, ass to mouth, tit slapping, daughter accomplice, facial, face sitting, spitting, rimming")</f>
        <v>noncon, DDlg, bully punishment, mouth fucking, empty stomach for cock, sadistic, daddy’s girl, anal, ass to mouth, tit slapping, daughter accomplice, facial, face sitting, spitting, rimming</v>
      </c>
    </row>
    <row r="94">
      <c r="A94" s="27">
        <f>IFERROR(__xludf.DUMMYFUNCTION("""COMPUTED_VALUE"""),311.0)</f>
        <v>311</v>
      </c>
      <c r="B94" s="57">
        <f>IFERROR(__xludf.DUMMYFUNCTION("""COMPUTED_VALUE"""),45064.0)</f>
        <v>45064</v>
      </c>
      <c r="C94" s="27" t="str">
        <f>IFERROR(__xludf.DUMMYFUNCTION("""COMPUTED_VALUE"""),"Pervy Rambling Mom Helpers")</f>
        <v>Pervy Rambling Mom Helpers</v>
      </c>
      <c r="D94" s="27" t="str">
        <f>IFERROR(__xludf.DUMMYFUNCTION("""COMPUTED_VALUE"""),"Ramblings from the mind of Miss Bea")</f>
        <v>Ramblings from the mind of Miss Bea</v>
      </c>
      <c r="E94" s="27" t="str">
        <f>IFERROR(__xludf.DUMMYFUNCTION("""COMPUTED_VALUE"""),"accomplice, perv families, noncon, MDlb, rambling")</f>
        <v>accomplice, perv families, noncon, MDlb, rambling</v>
      </c>
    </row>
    <row r="95">
      <c r="A95" s="27">
        <f>IFERROR(__xludf.DUMMYFUNCTION("""COMPUTED_VALUE"""),314.0)</f>
        <v>314</v>
      </c>
      <c r="B95" s="57">
        <f>IFERROR(__xludf.DUMMYFUNCTION("""COMPUTED_VALUE"""),45070.0)</f>
        <v>45070</v>
      </c>
      <c r="C95" s="27" t="str">
        <f>IFERROR(__xludf.DUMMYFUNCTION("""COMPUTED_VALUE"""),"Custom: Purge Night")</f>
        <v>Custom: Purge Night</v>
      </c>
      <c r="D95" s="27" t="str">
        <f>IFERROR(__xludf.DUMMYFUNCTION("""COMPUTED_VALUE"""),"Once a year, a company has an annual Purge Night where men can be as rough and aggressive as they want with every female employee. I am the HR manager and organizer of this night. You (the listener) are the new male employee hire that gets introduced to t"&amp;"his night of debauchery.  ")</f>
        <v>Once a year, a company has an annual Purge Night where men can be as rough and aggressive as they want with every female employee. I am the HR manager and organizer of this night. You (the listener) are the new male employee hire that gets introduced to this night of debauchery.  </v>
      </c>
      <c r="E95" s="27" t="str">
        <f>IFERROR(__xludf.DUMMYFUNCTION("""COMPUTED_VALUE"""),"no AP, misogyny, accomplice, gender traitor, submissive sluts, noncon, moaning and sex noise sfx, extreme use")</f>
        <v>no AP, misogyny, accomplice, gender traitor, submissive sluts, noncon, moaning and sex noise sfx, extreme use</v>
      </c>
    </row>
    <row r="96">
      <c r="A96" s="27">
        <f>IFERROR(__xludf.DUMMYFUNCTION("""COMPUTED_VALUE"""),315.0)</f>
        <v>315</v>
      </c>
      <c r="B96" s="57">
        <f>IFERROR(__xludf.DUMMYFUNCTION("""COMPUTED_VALUE"""),45071.0)</f>
        <v>45071</v>
      </c>
      <c r="C96" s="27" t="str">
        <f>IFERROR(__xludf.DUMMYFUNCTION("""COMPUTED_VALUE"""),"Silent Call: Seductive Accomplice")</f>
        <v>Silent Call: Seductive Accomplice</v>
      </c>
      <c r="D96" s="27" t="str">
        <f>IFERROR(__xludf.DUMMYFUNCTION("""COMPUTED_VALUE"""),"Anything can happen in our imaginations. Let me guide you through your true desires")</f>
        <v>Anything can happen in our imaginations. Let me guide you through your true desires</v>
      </c>
      <c r="E96" s="27" t="str">
        <f>IFERROR(__xludf.DUMMYFUNCTION("""COMPUTED_VALUE"""),"accomplice, noncon, unconscious, pussy only, pervert encouragement")</f>
        <v>accomplice, noncon, unconscious, pussy only, pervert encouragement</v>
      </c>
    </row>
    <row r="97">
      <c r="A97" s="27">
        <f>IFERROR(__xludf.DUMMYFUNCTION("""COMPUTED_VALUE"""),317.0)</f>
        <v>317</v>
      </c>
      <c r="B97" s="57">
        <f>IFERROR(__xludf.DUMMYFUNCTION("""COMPUTED_VALUE"""),45079.0)</f>
        <v>45079</v>
      </c>
      <c r="C97" s="27" t="str">
        <f>IFERROR(__xludf.DUMMYFUNCTION("""COMPUTED_VALUE"""),"Silent Call: Super Bad Accomplice Corruption")</f>
        <v>Silent Call: Super Bad Accomplice Corruption</v>
      </c>
      <c r="D97" s="27" t="str">
        <f>IFERROR(__xludf.DUMMYFUNCTION("""COMPUTED_VALUE"""),"A fictional story about how I brought you (the listener) down a really dark, perverted, twisted spiral. ")</f>
        <v>A fictional story about how I brought you (the listener) down a really dark, perverted, twisted spiral. </v>
      </c>
      <c r="E97" s="27" t="str">
        <f>IFERROR(__xludf.DUMMYFUNCTION("""COMPUTED_VALUE"""),"corruption, accomplice, extreme, porn addiction, role-play, noncon, devious gf")</f>
        <v>corruption, accomplice, extreme, porn addiction, role-play, noncon, devious gf</v>
      </c>
    </row>
    <row r="98">
      <c r="A98" s="27">
        <f>IFERROR(__xludf.DUMMYFUNCTION("""COMPUTED_VALUE"""),318.0)</f>
        <v>318</v>
      </c>
      <c r="B98" s="57">
        <f>IFERROR(__xludf.DUMMYFUNCTION("""COMPUTED_VALUE"""),45080.0)</f>
        <v>45080</v>
      </c>
      <c r="C98" s="27" t="str">
        <f>IFERROR(__xludf.DUMMYFUNCTION("""COMPUTED_VALUE"""),"Custom: Blowjob &amp; Rimjob Worship")</f>
        <v>Custom: Blowjob &amp; Rimjob Worship</v>
      </c>
      <c r="D98" s="27" t="str">
        <f>IFERROR(__xludf.DUMMYFUNCTION("""COMPUTED_VALUE"""),"You have a sex crazed cutie and my words guiding you along through her worshiping your cock with her mouth and giving you a sloppy rimjob until you finish with giving her a facial. ")</f>
        <v>You have a sex crazed cutie and my words guiding you along through her worshiping your cock with her mouth and giving you a sloppy rimjob until you finish with giving her a facial. </v>
      </c>
      <c r="E98" s="27" t="str">
        <f>IFERROR(__xludf.DUMMYFUNCTION("""COMPUTED_VALUE"""),"oral, blowjob sfx, throat use, tease, rimjob, facial, begging, accomplice")</f>
        <v>oral, blowjob sfx, throat use, tease, rimjob, facial, begging, accomplice</v>
      </c>
    </row>
    <row r="99">
      <c r="A99" s="27">
        <f>IFERROR(__xludf.DUMMYFUNCTION("""COMPUTED_VALUE"""),321.0)</f>
        <v>321</v>
      </c>
      <c r="B99" s="57">
        <f>IFERROR(__xludf.DUMMYFUNCTION("""COMPUTED_VALUE"""),45085.0)</f>
        <v>45085</v>
      </c>
      <c r="C99" s="27" t="str">
        <f>IFERROR(__xludf.DUMMYFUNCTION("""COMPUTED_VALUE"""),"Pervy Ramble: Sex Dolls, Public Perving, DDlg Seduction")</f>
        <v>Pervy Ramble: Sex Dolls, Public Perving, DDlg Seduction</v>
      </c>
      <c r="D99" s="27" t="str">
        <f>IFERROR(__xludf.DUMMYFUNCTION("""COMPUTED_VALUE"""),"Just a ramble from things that are currently turning me on")</f>
        <v>Just a ramble from things that are currently turning me on</v>
      </c>
      <c r="E99" s="27" t="str">
        <f>IFERROR(__xludf.DUMMYFUNCTION("""COMPUTED_VALUE"""),"sex dungeon, accomplice, lb/woman, egirls, public, DDlg, panties, tease, anal, rambling")</f>
        <v>sex dungeon, accomplice, lb/woman, egirls, public, DDlg, panties, tease, anal, rambling</v>
      </c>
    </row>
    <row r="100">
      <c r="A100" s="27">
        <f>IFERROR(__xludf.DUMMYFUNCTION("""COMPUTED_VALUE"""),322.0)</f>
        <v>322</v>
      </c>
      <c r="B100" s="57">
        <f>IFERROR(__xludf.DUMMYFUNCTION("""COMPUTED_VALUE"""),45089.0)</f>
        <v>45089</v>
      </c>
      <c r="C100" s="27" t="str">
        <f>IFERROR(__xludf.DUMMYFUNCTION("""COMPUTED_VALUE"""),"Silent Call: SPH Accomplice")</f>
        <v>Silent Call: SPH Accomplice</v>
      </c>
      <c r="D100" s="27" t="str">
        <f>IFERROR(__xludf.DUMMYFUNCTION("""COMPUTED_VALUE"""),"Accomplice role-play with SPH sprinkled in")</f>
        <v>Accomplice role-play with SPH sprinkled in</v>
      </c>
      <c r="E100" s="27" t="str">
        <f>IFERROR(__xludf.DUMMYFUNCTION("""COMPUTED_VALUE"""),"accomplice, noncon, rough, SPH, mouth fucking, creampie")</f>
        <v>accomplice, noncon, rough, SPH, mouth fucking, creampie</v>
      </c>
    </row>
    <row r="101">
      <c r="A101" s="27">
        <f>IFERROR(__xludf.DUMMYFUNCTION("""COMPUTED_VALUE"""),325.0)</f>
        <v>325</v>
      </c>
      <c r="B101" s="57">
        <f>IFERROR(__xludf.DUMMYFUNCTION("""COMPUTED_VALUE"""),45091.0)</f>
        <v>45091</v>
      </c>
      <c r="C101" s="27" t="str">
        <f>IFERROR(__xludf.DUMMYFUNCTION("""COMPUTED_VALUE"""),"Silent Call: Time Freeze")</f>
        <v>Silent Call: Time Freeze</v>
      </c>
      <c r="D101" s="27" t="str">
        <f>IFERROR(__xludf.DUMMYFUNCTION("""COMPUTED_VALUE""")," We’re out and about on a hot summer day at an ice cream parlor. Let’s freeze time and have you follow every filthy instruction I have. ")</f>
        <v> We’re out and about on a hot summer day at an ice cream parlor. Let’s freeze time and have you follow every filthy instruction I have. </v>
      </c>
      <c r="E101" s="27" t="str">
        <f>IFERROR(__xludf.DUMMYFUNCTION("""COMPUTED_VALUE"""),"accomplice, mindfuck, noncon, oral, creampie, cum countdown")</f>
        <v>accomplice, mindfuck, noncon, oral, creampie, cum countdown</v>
      </c>
    </row>
    <row r="102">
      <c r="A102" s="27">
        <f>IFERROR(__xludf.DUMMYFUNCTION("""COMPUTED_VALUE"""),327.0)</f>
        <v>327</v>
      </c>
      <c r="B102" s="57">
        <f>IFERROR(__xludf.DUMMYFUNCTION("""COMPUTED_VALUE"""),45094.0)</f>
        <v>45094</v>
      </c>
      <c r="C102" s="27" t="str">
        <f>IFERROR(__xludf.DUMMYFUNCTION("""COMPUTED_VALUE"""),"Silent Call: You Crave Me, Your Accomplice")</f>
        <v>Silent Call: You Crave Me, Your Accomplice</v>
      </c>
      <c r="D102" s="27" t="str">
        <f>IFERROR(__xludf.DUMMYFUNCTION("""COMPUTED_VALUE"""),"Let me push your limits and make your fantasies come alive. ")</f>
        <v>Let me push your limits and make your fantasies come alive. </v>
      </c>
      <c r="E102" s="27" t="str">
        <f>IFERROR(__xludf.DUMMYFUNCTION("""COMPUTED_VALUE"""),"accomplice, unconscious, noncon, sex slave")</f>
        <v>accomplice, unconscious, noncon, sex slave</v>
      </c>
    </row>
    <row r="103">
      <c r="A103" s="27">
        <f>IFERROR(__xludf.DUMMYFUNCTION("""COMPUTED_VALUE"""),328.0)</f>
        <v>328</v>
      </c>
      <c r="B103" s="57">
        <f>IFERROR(__xludf.DUMMYFUNCTION("""COMPUTED_VALUE"""),45097.0)</f>
        <v>45097</v>
      </c>
      <c r="C103" s="27" t="str">
        <f>IFERROR(__xludf.DUMMYFUNCTION("""COMPUTED_VALUE"""),"Silent Call: Emma’s New Daddy")</f>
        <v>Silent Call: Emma’s New Daddy</v>
      </c>
      <c r="D103" s="27" t="str">
        <f>IFERROR(__xludf.DUMMYFUNCTION("""COMPUTED_VALUE"""),"It’s all fun and games until Emma’s new daddy starts taking what he wants ")</f>
        <v>It’s all fun and games until Emma’s new daddy starts taking what he wants </v>
      </c>
      <c r="E103" s="27" t="str">
        <f>IFERROR(__xludf.DUMMYFUNCTION("""COMPUTED_VALUE"""),"bad mom, Emma’s perspective, noncon, training, oral, force, accomplice")</f>
        <v>bad mom, Emma’s perspective, noncon, training, oral, force, accomplice</v>
      </c>
    </row>
    <row r="104">
      <c r="A104" s="27">
        <f>IFERROR(__xludf.DUMMYFUNCTION("""COMPUTED_VALUE"""),329.0)</f>
        <v>329</v>
      </c>
      <c r="B104" s="57">
        <f>IFERROR(__xludf.DUMMYFUNCTION("""COMPUTED_VALUE"""),45096.0)</f>
        <v>45096</v>
      </c>
      <c r="C104" s="27" t="str">
        <f>IFERROR(__xludf.DUMMYFUNCTION("""COMPUTED_VALUE"""),"ilent Call: Your Perv Dealer")</f>
        <v>ilent Call: Your Perv Dealer</v>
      </c>
      <c r="D104" s="27" t="str">
        <f>IFERROR(__xludf.DUMMYFUNCTION("""COMPUTED_VALUE"""),"Your favorite accomplice is back for more. ")</f>
        <v>Your favorite accomplice is back for more. </v>
      </c>
      <c r="E104" s="27" t="str">
        <f>IFERROR(__xludf.DUMMYFUNCTION("""COMPUTED_VALUE"""),"accomplice, unconscious, noncon, pussy only, pervert encouragement")</f>
        <v>accomplice, unconscious, noncon, pussy only, pervert encouragement</v>
      </c>
    </row>
    <row r="105">
      <c r="A105" s="27">
        <f>IFERROR(__xludf.DUMMYFUNCTION("""COMPUTED_VALUE"""),332.0)</f>
        <v>332</v>
      </c>
      <c r="B105" s="57">
        <f>IFERROR(__xludf.DUMMYFUNCTION("""COMPUTED_VALUE"""),45102.0)</f>
        <v>45102</v>
      </c>
      <c r="C105" s="27" t="str">
        <f>IFERROR(__xludf.DUMMYFUNCTION("""COMPUTED_VALUE"""),"Custom: Mommy’s Hypnotherapy Part 2")</f>
        <v>Custom: Mommy’s Hypnotherapy Part 2</v>
      </c>
      <c r="D105" s="27" t="str">
        <f>IFERROR(__xludf.DUMMYFUNCTION("""COMPUTED_VALUE"""),"I’m a therapist who knows about the extreme perversions inside of your head. Instead of dispelling them, I decide to do a special kind of hypnotherapy")</f>
        <v>I’m a therapist who knows about the extreme perversions inside of your head. Instead of dispelling them, I decide to do a special kind of hypnotherapy</v>
      </c>
      <c r="E105" s="27" t="str">
        <f>IFERROR(__xludf.DUMMYFUNCTION("""COMPUTED_VALUE"""),"hypno, binaural, asmr, sfx, mom/son, perv encouragement, accomplice, brief incest mention, noncon, three orgasms/one cum countdown, face use, creampies")</f>
        <v>hypno, binaural, asmr, sfx, mom/son, perv encouragement, accomplice, brief incest mention, noncon, three orgasms/one cum countdown, face use, creampies</v>
      </c>
    </row>
    <row r="106">
      <c r="A106" s="27">
        <f>IFERROR(__xludf.DUMMYFUNCTION("""COMPUTED_VALUE"""),336.0)</f>
        <v>336</v>
      </c>
      <c r="B106" s="57">
        <f>IFERROR(__xludf.DUMMYFUNCTION("""COMPUTED_VALUE"""),45106.0)</f>
        <v>45106</v>
      </c>
      <c r="C106" s="27" t="str">
        <f>IFERROR(__xludf.DUMMYFUNCTION("""COMPUTED_VALUE"""),"Silent Call: Accomplice Addiction")</f>
        <v>Silent Call: Accomplice Addiction</v>
      </c>
      <c r="D106" s="27" t="str">
        <f>IFERROR(__xludf.DUMMYFUNCTION("""COMPUTED_VALUE"""),"You know I’m the only thing you need, sending you into the deepest pleasures of perversion. ")</f>
        <v>You know I’m the only thing you need, sending you into the deepest pleasures of perversion. </v>
      </c>
      <c r="E106" s="27" t="str">
        <f>IFERROR(__xludf.DUMMYFUNCTION("""COMPUTED_VALUE"""),"accomplice, seductive, noncon, mindfuck, lose control")</f>
        <v>accomplice, seductive, noncon, mindfuck, lose control</v>
      </c>
    </row>
    <row r="107">
      <c r="A107" s="27">
        <f>IFERROR(__xludf.DUMMYFUNCTION("""COMPUTED_VALUE"""),338.0)</f>
        <v>338</v>
      </c>
      <c r="B107" s="57">
        <f>IFERROR(__xludf.DUMMYFUNCTION("""COMPUTED_VALUE"""),45107.0)</f>
        <v>45107</v>
      </c>
      <c r="C107" s="27" t="str">
        <f>IFERROR(__xludf.DUMMYFUNCTION("""COMPUTED_VALUE"""),"Custom Improv: Maisie Moon’s School For Good Girls")</f>
        <v>Custom Improv: Maisie Moon’s School For Good Girls</v>
      </c>
      <c r="D107" s="27" t="str">
        <f>IFERROR(__xludf.DUMMYFUNCTION("""COMPUTED_VALUE"""),"I teach my students everything they need to be good girls for daddies. One particular session, I bring in a daddy that’s ready to have some hands on training with his girls. I’m in a particularly demanding mood, encouraging more than what’s been taught.")</f>
        <v>I teach my students everything they need to be good girls for daddies. One particular session, I bring in a daddy that’s ready to have some hands on training with his girls. I’m in a particularly demanding mood, encouraging more than what’s been taught.</v>
      </c>
      <c r="E107" s="27" t="str">
        <f>IFERROR(__xludf.DUMMYFUNCTION("""COMPUTED_VALUE"""),"accomplice, DDlg, sis/sis kissing, face fucking, noncon, creampie, cum countdown")</f>
        <v>accomplice, DDlg, sis/sis kissing, face fucking, noncon, creampie, cum countdown</v>
      </c>
    </row>
    <row r="108">
      <c r="A108" s="27">
        <f>IFERROR(__xludf.DUMMYFUNCTION("""COMPUTED_VALUE"""),340.0)</f>
        <v>340</v>
      </c>
      <c r="B108" s="57">
        <f>IFERROR(__xludf.DUMMYFUNCTION("""COMPUTED_VALUE"""),45109.0)</f>
        <v>45109</v>
      </c>
      <c r="C108" s="27" t="str">
        <f>IFERROR(__xludf.DUMMYFUNCTION("""COMPUTED_VALUE"""),"Silent Call: Accomplice Trance")</f>
        <v>Silent Call: Accomplice Trance</v>
      </c>
      <c r="D108" s="27" t="str">
        <f>IFERROR(__xludf.DUMMYFUNCTION("""COMPUTED_VALUE"""),"You’re in some alternate realm where I can make anything happen. You start tied down and blindfolded while I make helpers appear on your lap, sending you deeper down into bliss and perverted ecstasy.")</f>
        <v>You’re in some alternate realm where I can make anything happen. You start tied down and blindfolded while I make helpers appear on your lap, sending you deeper down into bliss and perverted ecstasy.</v>
      </c>
      <c r="E108" s="27" t="str">
        <f>IFERROR(__xludf.DUMMYFUNCTION("""COMPUTED_VALUE"""),"accomplice, corruption, noncon, trance, pervert encouragement")</f>
        <v>accomplice, corruption, noncon, trance, pervert encouragement</v>
      </c>
    </row>
    <row r="109">
      <c r="A109" s="27">
        <f>IFERROR(__xludf.DUMMYFUNCTION("""COMPUTED_VALUE"""),341.0)</f>
        <v>341</v>
      </c>
      <c r="B109" s="57">
        <f>IFERROR(__xludf.DUMMYFUNCTION("""COMPUTED_VALUE"""),45108.0)</f>
        <v>45108</v>
      </c>
      <c r="C109" s="27" t="str">
        <f>IFERROR(__xludf.DUMMYFUNCTION("""COMPUTED_VALUE"""),"Silent Call: Car Ride Accomplice")</f>
        <v>Silent Call: Car Ride Accomplice</v>
      </c>
      <c r="D109" s="27" t="str">
        <f>IFERROR(__xludf.DUMMYFUNCTION("""COMPUTED_VALUE"""),"We added another rider to our road trip and use her to have some fun")</f>
        <v>We added another rider to our road trip and use her to have some fun</v>
      </c>
      <c r="E109" s="27" t="str">
        <f>IFERROR(__xludf.DUMMYFUNCTION("""COMPUTED_VALUE"""),"accomplice, public play, oral, all three holes, noncon")</f>
        <v>accomplice, public play, oral, all three holes, noncon</v>
      </c>
    </row>
    <row r="110">
      <c r="A110" s="27">
        <f>IFERROR(__xludf.DUMMYFUNCTION("""COMPUTED_VALUE"""),342.0)</f>
        <v>342</v>
      </c>
      <c r="B110" s="57">
        <f>IFERROR(__xludf.DUMMYFUNCTION("""COMPUTED_VALUE"""),45107.0)</f>
        <v>45107</v>
      </c>
      <c r="C110" s="27" t="str">
        <f>IFERROR(__xludf.DUMMYFUNCTION("""COMPUTED_VALUE"""),"Silent Call: Daddy’s Girl")</f>
        <v>Silent Call: Daddy’s Girl</v>
      </c>
      <c r="D110" s="27" t="str">
        <f>IFERROR(__xludf.DUMMYFUNCTION("""COMPUTED_VALUE"""),"I’m daddy’s accomplice, encouraging daddy to enjoy his sweet girl")</f>
        <v>I’m daddy’s accomplice, encouraging daddy to enjoy his sweet girl</v>
      </c>
      <c r="E110" s="27" t="str">
        <f>IFERROR(__xludf.DUMMYFUNCTION("""COMPUTED_VALUE"""),"accomplice, creampie, breeding, oral, ddlg")</f>
        <v>accomplice, creampie, breeding, oral, ddlg</v>
      </c>
    </row>
    <row r="111">
      <c r="A111" s="27">
        <f>IFERROR(__xludf.DUMMYFUNCTION("""COMPUTED_VALUE"""),343.0)</f>
        <v>343</v>
      </c>
      <c r="B111" s="57">
        <f>IFERROR(__xludf.DUMMYFUNCTION("""COMPUTED_VALUE"""),45108.0)</f>
        <v>45108</v>
      </c>
      <c r="C111" s="27" t="str">
        <f>IFERROR(__xludf.DUMMYFUNCTION("""COMPUTED_VALUE"""),"Silent Call: Secret Pervert")</f>
        <v>Silent Call: Secret Pervert</v>
      </c>
      <c r="D111" s="27" t="str">
        <f>IFERROR(__xludf.DUMMYFUNCTION("""COMPUTED_VALUE""")," I found some pervy shit on your phone, decided to encourage you because I don’t want to lose my boyfriend, but you can’t seem to fess up to the truth. ")</f>
        <v> I found some pervy shit on your phone, decided to encourage you because I don’t want to lose my boyfriend, but you can’t seem to fess up to the truth. </v>
      </c>
      <c r="E111" s="27" t="str">
        <f>IFERROR(__xludf.DUMMYFUNCTION("""COMPUTED_VALUE""")," accomplice, pervy joi, corruption, noncon, pervy gfe")</f>
        <v> accomplice, pervy joi, corruption, noncon, pervy gfe</v>
      </c>
    </row>
    <row r="112">
      <c r="A112" s="52">
        <f>IFERROR(__xludf.DUMMYFUNCTION("""COMPUTED_VALUE"""),344.0)</f>
        <v>344</v>
      </c>
      <c r="B112" s="51">
        <f>IFERROR(__xludf.DUMMYFUNCTION("""COMPUTED_VALUE"""),45109.0)</f>
        <v>45109</v>
      </c>
      <c r="C112" s="27" t="str">
        <f>IFERROR(__xludf.DUMMYFUNCTION("""COMPUTED_VALUE"""),"Script Fill: Pervy Show Time")</f>
        <v>Script Fill: Pervy Show Time</v>
      </c>
      <c r="D112" s="27" t="str">
        <f>IFERROR(__xludf.DUMMYFUNCTION("""COMPUTED_VALUE"""),"A pervy couple have fun with their new play thing")</f>
        <v>A pervy couple have fun with their new play thing</v>
      </c>
      <c r="E112" s="27" t="str">
        <f>IFERROR(__xludf.DUMMYFUNCTION("""COMPUTED_VALUE"""),"accomplice, oral sfx, whining/crying sfx, bondage, porn, face sitting, tit cumshot, cum swapping")</f>
        <v>accomplice, oral sfx, whining/crying sfx, bondage, porn, face sitting, tit cumshot, cum swapping</v>
      </c>
    </row>
    <row r="113">
      <c r="A113" s="52">
        <f>IFERROR(__xludf.DUMMYFUNCTION("""COMPUTED_VALUE"""),346.0)</f>
        <v>346</v>
      </c>
      <c r="B113" s="51">
        <f>IFERROR(__xludf.DUMMYFUNCTION("""COMPUTED_VALUE"""),45109.0)</f>
        <v>45109</v>
      </c>
      <c r="C113" s="27" t="str">
        <f>IFERROR(__xludf.DUMMYFUNCTION("""COMPUTED_VALUE"""),"Script Fill: Pervy Show Time")</f>
        <v>Script Fill: Pervy Show Time</v>
      </c>
      <c r="D113" s="27" t="str">
        <f>IFERROR(__xludf.DUMMYFUNCTION("""COMPUTED_VALUE"""),"A pervy couple have fun with their new play thing")</f>
        <v>A pervy couple have fun with their new play thing</v>
      </c>
      <c r="E113" s="27" t="str">
        <f>IFERROR(__xludf.DUMMYFUNCTION("""COMPUTED_VALUE"""),"accomplice, oral sfx, whining/crying sfx, bondage, porn, face sitting, tit cumshot, cum swapping")</f>
        <v>accomplice, oral sfx, whining/crying sfx, bondage, porn, face sitting, tit cumshot, cum swapping</v>
      </c>
    </row>
    <row r="114">
      <c r="A114" s="52">
        <f>IFERROR(__xludf.DUMMYFUNCTION("""COMPUTED_VALUE"""),351.0)</f>
        <v>351</v>
      </c>
      <c r="B114" s="51">
        <f>IFERROR(__xludf.DUMMYFUNCTION("""COMPUTED_VALUE"""),45113.0)</f>
        <v>45113</v>
      </c>
      <c r="C114" s="27" t="str">
        <f>IFERROR(__xludf.DUMMYFUNCTION("""COMPUTED_VALUE"""),"Title: Silent Call: Corrupted Mom Confession")</f>
        <v>Title: Silent Call: Corrupted Mom Confession</v>
      </c>
      <c r="D114" s="27" t="str">
        <f>IFERROR(__xludf.DUMMYFUNCTION("""COMPUTED_VALUE"""),"A mother’s confession about how she got corrupted by the new boyfriend in her life. ")</f>
        <v>A mother’s confession about how she got corrupted by the new boyfriend in her life. </v>
      </c>
      <c r="E114" s="27" t="str">
        <f>IFERROR(__xludf.DUMMYFUNCTION("""COMPUTED_VALUE"""),"accomplice, noncon, corruption, bad mom")</f>
        <v>accomplice, noncon, corruption, bad mom</v>
      </c>
    </row>
    <row r="115">
      <c r="A115" s="52">
        <f>IFERROR(__xludf.DUMMYFUNCTION("""COMPUTED_VALUE"""),353.0)</f>
        <v>353</v>
      </c>
      <c r="B115" s="51">
        <f>IFERROR(__xludf.DUMMYFUNCTION("""COMPUTED_VALUE"""),45121.0)</f>
        <v>45121</v>
      </c>
      <c r="C115" s="27" t="str">
        <f>IFERROR(__xludf.DUMMYFUNCTION("""COMPUTED_VALUE"""),"Custom: Daughter Slut Programming")</f>
        <v>Custom: Daughter Slut Programming</v>
      </c>
      <c r="D115" s="27" t="str">
        <f>IFERROR(__xludf.DUMMYFUNCTION("""COMPUTED_VALUE"""),"Dr. Beatrix has state of the lab where she brainwashes daughters into being perfect fuck dolls for their daddies. Two of my patients have been exceptionally successful and I decide to brainwash them more, encouraging them to be sluts for all men. ")</f>
        <v>Dr. Beatrix has state of the lab where she brainwashes daughters into being perfect fuck dolls for their daddies. Two of my patients have been exceptionally successful and I decide to brainwash them more, encouraging them to be sluts for all men. </v>
      </c>
      <c r="E115" s="27" t="str">
        <f>IFERROR(__xludf.DUMMYFUNCTION("""COMPUTED_VALUE"""),"accomplice, hypnosis, DDlg, daughter swapping, submissive sluts")</f>
        <v>accomplice, hypnosis, DDlg, daughter swapping, submissive sluts</v>
      </c>
    </row>
    <row r="116">
      <c r="A116" s="52">
        <f>IFERROR(__xludf.DUMMYFUNCTION("""COMPUTED_VALUE"""),358.0)</f>
        <v>358</v>
      </c>
      <c r="B116" s="51">
        <f>IFERROR(__xludf.DUMMYFUNCTION("""COMPUTED_VALUE"""),45126.0)</f>
        <v>45126</v>
      </c>
      <c r="C116" s="27" t="str">
        <f>IFERROR(__xludf.DUMMYFUNCTION("""COMPUTED_VALUE"""),"Custom: Daddy’s Perv Life")</f>
        <v>Custom: Daddy’s Perv Life</v>
      </c>
      <c r="D116" s="27" t="str">
        <f>IFERROR(__xludf.DUMMYFUNCTION("""COMPUTED_VALUE"""),"I’m the best accomplice you could ask for. Encouraging and feeding you all the things a daddy like you desires. ")</f>
        <v>I’m the best accomplice you could ask for. Encouraging and feeding you all the things a daddy like you desires. </v>
      </c>
      <c r="E116" s="27" t="str">
        <f>IFERROR(__xludf.DUMMYFUNCTION("""COMPUTED_VALUE"""),"DDlg, accomplice, outercourse, breeding, trigger word heavy")</f>
        <v>DDlg, accomplice, outercourse, breeding, trigger word heavy</v>
      </c>
    </row>
    <row r="117">
      <c r="A117" s="52">
        <f>IFERROR(__xludf.DUMMYFUNCTION("""COMPUTED_VALUE"""),359.0)</f>
        <v>359</v>
      </c>
      <c r="B117" s="51">
        <f>IFERROR(__xludf.DUMMYFUNCTION("""COMPUTED_VALUE"""),45126.0)</f>
        <v>45126</v>
      </c>
      <c r="C117" s="27" t="str">
        <f>IFERROR(__xludf.DUMMYFUNCTION("""COMPUTED_VALUE"""),"Silent Call: Daddy’s Sissy Son")</f>
        <v>Silent Call: Daddy’s Sissy Son</v>
      </c>
      <c r="D117" s="27" t="str">
        <f>IFERROR(__xludf.DUMMYFUNCTION("""COMPUTED_VALUE"""),"I insist that you use our son as your own sissy girl and fuck toy. ")</f>
        <v>I insist that you use our son as your own sissy girl and fuck toy. </v>
      </c>
      <c r="E117" s="27" t="str">
        <f>IFERROR(__xludf.DUMMYFUNCTION("""COMPUTED_VALUE"""),"accomplice, encouraged bi, feminization, DDlb, anal")</f>
        <v>accomplice, encouraged bi, feminization, DDlb, anal</v>
      </c>
    </row>
    <row r="118">
      <c r="A118" s="52">
        <f>IFERROR(__xludf.DUMMYFUNCTION("""COMPUTED_VALUE"""),361.0)</f>
        <v>361</v>
      </c>
      <c r="B118" s="51">
        <f>IFERROR(__xludf.DUMMYFUNCTION("""COMPUTED_VALUE"""),45129.0)</f>
        <v>45129</v>
      </c>
      <c r="C118" s="27" t="str">
        <f>IFERROR(__xludf.DUMMYFUNCTION("""COMPUTED_VALUE"""),"Custom Improv: Pervert Unleashed")</f>
        <v>Custom Improv: Pervert Unleashed</v>
      </c>
      <c r="D118" s="27" t="str">
        <f>IFERROR(__xludf.DUMMYFUNCTION("""COMPUTED_VALUE"""),"You’re my perverted puppet and I’ve been keeping you on the edge all week until I bring you into my dungeon and provide a mom/daughter for you to unleash on with my assistance")</f>
        <v>You’re my perverted puppet and I’ve been keeping you on the edge all week until I bring you into my dungeon and provide a mom/daughter for you to unleash on with my assistance</v>
      </c>
      <c r="E118" s="27" t="str">
        <f>IFERROR(__xludf.DUMMYFUNCTION("""COMPUTED_VALUE"""),"accomplice, Mistress/slave, slut mommy abuse, noncon, cum countdown")</f>
        <v>accomplice, Mistress/slave, slut mommy abuse, noncon, cum countdown</v>
      </c>
    </row>
    <row r="119">
      <c r="A119" s="52">
        <f>IFERROR(__xludf.DUMMYFUNCTION("""COMPUTED_VALUE"""),362.0)</f>
        <v>362</v>
      </c>
      <c r="B119" s="51">
        <f>IFERROR(__xludf.DUMMYFUNCTION("""COMPUTED_VALUE"""),45131.0)</f>
        <v>45131</v>
      </c>
      <c r="C119" s="27" t="str">
        <f>IFERROR(__xludf.DUMMYFUNCTION("""COMPUTED_VALUE"""),"Silent Call: Accomplice Visualizations")</f>
        <v>Silent Call: Accomplice Visualizations</v>
      </c>
      <c r="D119" s="27" t="str">
        <f>IFERROR(__xludf.DUMMYFUNCTION("""COMPUTED_VALUE"""),"You’re back again, aren’t you? Let your favorite accomplice paint the most delicious and forbidden pictures for you in your mind.")</f>
        <v>You’re back again, aren’t you? Let your favorite accomplice paint the most delicious and forbidden pictures for you in your mind.</v>
      </c>
      <c r="E119" s="27" t="str">
        <f>IFERROR(__xludf.DUMMYFUNCTION("""COMPUTED_VALUE"""),"accomplice, pervert encouragement, slow &amp; seductive")</f>
        <v>accomplice, pervert encouragement, slow &amp; seductive</v>
      </c>
    </row>
    <row r="120">
      <c r="A120" s="52">
        <f>IFERROR(__xludf.DUMMYFUNCTION("""COMPUTED_VALUE"""),364.0)</f>
        <v>364</v>
      </c>
      <c r="B120" s="51">
        <f>IFERROR(__xludf.DUMMYFUNCTION("""COMPUTED_VALUE"""),45135.0)</f>
        <v>45135</v>
      </c>
      <c r="C120" s="27" t="str">
        <f>IFERROR(__xludf.DUMMYFUNCTION("""COMPUTED_VALUE"""),"Silent Call: Daddy’s Girl Turns Into a Perv")</f>
        <v>Silent Call: Daddy’s Girl Turns Into a Perv</v>
      </c>
      <c r="D120" s="27" t="str">
        <f>IFERROR(__xludf.DUMMYFUNCTION("""COMPUTED_VALUE"""),"A story of a woman’s life as a secret perv, all thanks to her father. ")</f>
        <v>A story of a woman’s life as a secret perv, all thanks to her father. </v>
      </c>
      <c r="E120" s="27" t="str">
        <f>IFERROR(__xludf.DUMMYFUNCTION("""COMPUTED_VALUE"""),"Tags: accomplice, DDlg, corruption, noncon, training")</f>
        <v>Tags: accomplice, DDlg, corruption, noncon, training</v>
      </c>
    </row>
    <row r="121">
      <c r="A121" s="52">
        <f>IFERROR(__xludf.DUMMYFUNCTION("""COMPUTED_VALUE"""),372.0)</f>
        <v>372</v>
      </c>
      <c r="B121" s="51">
        <f>IFERROR(__xludf.DUMMYFUNCTION("""COMPUTED_VALUE"""),45152.0)</f>
        <v>45152</v>
      </c>
      <c r="C121" s="27" t="str">
        <f>IFERROR(__xludf.DUMMYFUNCTION("""COMPUTED_VALUE"""),"Seraphina Guardian Angel Corruption")</f>
        <v>Seraphina Guardian Angel Corruption</v>
      </c>
      <c r="D121" s="27" t="str">
        <f>IFERROR(__xludf.DUMMYFUNCTION("""COMPUTED_VALUE"""),"Your guardian angel (me) appears to you for the first time following some internal turmoil you’ve experienced with your secret perversion. I appear like I’m there to help forgive you of your sins, but end up corrupting you further.")</f>
        <v>Your guardian angel (me) appears to you for the first time following some internal turmoil you’ve experienced with your secret perversion. I appear like I’m there to help forgive you of your sins, but end up corrupting you further.</v>
      </c>
      <c r="E121" s="27" t="str">
        <f>IFERROR(__xludf.DUMMYFUNCTION("""COMPUTED_VALUE"""),"hypno, blasphemy, corruption, accomplice, hypnotic suggestion, sfx")</f>
        <v>hypno, blasphemy, corruption, accomplice, hypnotic suggestion, sfx</v>
      </c>
    </row>
    <row r="122">
      <c r="A122" s="52">
        <f>IFERROR(__xludf.DUMMYFUNCTION("""COMPUTED_VALUE"""),380.0)</f>
        <v>380</v>
      </c>
      <c r="B122" s="51">
        <f>IFERROR(__xludf.DUMMYFUNCTION("""COMPUTED_VALUE"""),45159.0)</f>
        <v>45159</v>
      </c>
      <c r="C122" s="27" t="str">
        <f>IFERROR(__xludf.DUMMYFUNCTION("""COMPUTED_VALUE"""),"Silent Call: Inner Struggle")</f>
        <v>Silent Call: Inner Struggle</v>
      </c>
      <c r="D122" s="27" t="str">
        <f>IFERROR(__xludf.DUMMYFUNCTION("""COMPUTED_VALUE"""),"I’m that voice in your head…you know the rest.")</f>
        <v>I’m that voice in your head…you know the rest.</v>
      </c>
      <c r="E122" s="27" t="str">
        <f>IFERROR(__xludf.DUMMYFUNCTION("""COMPUTED_VALUE"""),"accomplice, slow &amp; seductive")</f>
        <v>accomplice, slow &amp; seductive</v>
      </c>
    </row>
    <row r="123">
      <c r="A123" s="52">
        <f>IFERROR(__xludf.DUMMYFUNCTION("""COMPUTED_VALUE"""),382.0)</f>
        <v>382</v>
      </c>
      <c r="B123" s="51">
        <f>IFERROR(__xludf.DUMMYFUNCTION("""COMPUTED_VALUE"""),45160.0)</f>
        <v>45160</v>
      </c>
      <c r="C123" s="27" t="str">
        <f>IFERROR(__xludf.DUMMYFUNCTION("""COMPUTED_VALUE"""),"Silent Call: Out of Character")</f>
        <v>Silent Call: Out of Character</v>
      </c>
      <c r="D123" s="27" t="str">
        <f>IFERROR(__xludf.DUMMYFUNCTION("""COMPUTED_VALUE"""),"You did something that is totally out of character, thanks to your pervy inner voice aka me")</f>
        <v>You did something that is totally out of character, thanks to your pervy inner voice aka me</v>
      </c>
      <c r="E123" s="27" t="str">
        <f>IFERROR(__xludf.DUMMYFUNCTION("""COMPUTED_VALUE"""),"accomplice, slow &amp; seductive, corruption, noncon, kidnap")</f>
        <v>accomplice, slow &amp; seductive, corruption, noncon, kidnap</v>
      </c>
    </row>
    <row r="124">
      <c r="A124" s="52">
        <f>IFERROR(__xludf.DUMMYFUNCTION("""COMPUTED_VALUE"""),385.0)</f>
        <v>385</v>
      </c>
      <c r="B124" s="51">
        <f>IFERROR(__xludf.DUMMYFUNCTION("""COMPUTED_VALUE"""),45166.0)</f>
        <v>45166</v>
      </c>
      <c r="C124" s="27" t="str">
        <f>IFERROR(__xludf.DUMMYFUNCTION("""COMPUTED_VALUE"""),"Improv: Mommy Lover Encouragement")</f>
        <v>Improv: Mommy Lover Encouragement</v>
      </c>
      <c r="D124" s="27" t="str">
        <f>IFERROR(__xludf.DUMMYFUNCTION("""COMPUTED_VALUE"""),"So, you want to fuck your mother? Allow me to encourage you.")</f>
        <v>So, you want to fuck your mother? Allow me to encourage you.</v>
      </c>
      <c r="E124" s="27" t="str">
        <f>IFERROR(__xludf.DUMMYFUNCTION("""COMPUTED_VALUE"""),"incest, mommy/son, accomplice, noncon, encouragement")</f>
        <v>incest, mommy/son, accomplice, noncon, encouragement</v>
      </c>
    </row>
    <row r="125">
      <c r="A125" s="52">
        <f>IFERROR(__xludf.DUMMYFUNCTION("""COMPUTED_VALUE"""),390.0)</f>
        <v>390</v>
      </c>
      <c r="B125" s="51">
        <f>IFERROR(__xludf.DUMMYFUNCTION("""COMPUTED_VALUE"""),45171.0)</f>
        <v>45171</v>
      </c>
      <c r="C125" s="27" t="str">
        <f>IFERROR(__xludf.DUMMYFUNCTION("""COMPUTED_VALUE"""),"Silent Call: Girlfriend Corruption")</f>
        <v>Silent Call: Girlfriend Corruption</v>
      </c>
      <c r="D125" s="27" t="str">
        <f>IFERROR(__xludf.DUMMYFUNCTION("""COMPUTED_VALUE"""),"I get fucked up and obsessed with dark stuff and seek out a boyfriend to dig my claws into to satisfy my needs.")</f>
        <v>I get fucked up and obsessed with dark stuff and seek out a boyfriend to dig my claws into to satisfy my needs.</v>
      </c>
      <c r="E125" s="27" t="str">
        <f>IFERROR(__xludf.DUMMYFUNCTION("""COMPUTED_VALUE"""),"corruption, noncon, DDlg, confessional style, accomplice")</f>
        <v>corruption, noncon, DDlg, confessional style, accomplice</v>
      </c>
    </row>
    <row r="126">
      <c r="A126" s="52">
        <f>IFERROR(__xludf.DUMMYFUNCTION("""COMPUTED_VALUE"""),394.0)</f>
        <v>394</v>
      </c>
      <c r="B126" s="51">
        <f>IFERROR(__xludf.DUMMYFUNCTION("""COMPUTED_VALUE"""),45178.0)</f>
        <v>45178</v>
      </c>
      <c r="C126" s="27" t="str">
        <f>IFERROR(__xludf.DUMMYFUNCTION("""COMPUTED_VALUE"""),"Improv: Intoxicating Slumber Party")</f>
        <v>Improv: Intoxicating Slumber Party</v>
      </c>
      <c r="D126" s="27" t="str">
        <f>IFERROR(__xludf.DUMMYFUNCTION("""COMPUTED_VALUE"""),"I set up a perfect night for you with daughter and friends.")</f>
        <v>I set up a perfect night for you with daughter and friends.</v>
      </c>
      <c r="E126" s="27" t="str">
        <f>IFERROR(__xludf.DUMMYFUNCTION("""COMPUTED_VALUE"""),"accomplice, intoxication, light scat play, rimming, smelly sweaty holes, breeding, DDlg")</f>
        <v>accomplice, intoxication, light scat play, rimming, smelly sweaty holes, breeding, DDlg</v>
      </c>
    </row>
    <row r="127">
      <c r="A127" s="52">
        <f>IFERROR(__xludf.DUMMYFUNCTION("""COMPUTED_VALUE"""),400.0)</f>
        <v>400</v>
      </c>
      <c r="B127" s="51">
        <f>IFERROR(__xludf.DUMMYFUNCTION("""COMPUTED_VALUE"""),45184.0)</f>
        <v>45184</v>
      </c>
      <c r="C127" s="27" t="str">
        <f>IFERROR(__xludf.DUMMYFUNCTION("""COMPUTED_VALUE"""),"Silent Call: A Changed Mother")</f>
        <v>Silent Call: A Changed Mother</v>
      </c>
      <c r="D127" s="27" t="str">
        <f>IFERROR(__xludf.DUMMYFUNCTION("""COMPUTED_VALUE"""),"A single mother moves into a friend’s home and slowly changes into something that shocks, yet excites her.")</f>
        <v>A single mother moves into a friend’s home and slowly changes into something that shocks, yet excites her.</v>
      </c>
      <c r="E127" s="27" t="str">
        <f>IFERROR(__xludf.DUMMYFUNCTION("""COMPUTED_VALUE"""),"accomplice, perv woman, confession, slow burn")</f>
        <v>accomplice, perv woman, confession, slow burn</v>
      </c>
    </row>
    <row r="128">
      <c r="A128" s="52">
        <f>IFERROR(__xludf.DUMMYFUNCTION("""COMPUTED_VALUE"""),402.0)</f>
        <v>402</v>
      </c>
      <c r="B128" s="51">
        <f>IFERROR(__xludf.DUMMYFUNCTION("""COMPUTED_VALUE"""),45187.0)</f>
        <v>45187</v>
      </c>
      <c r="C128" s="27" t="str">
        <f>IFERROR(__xludf.DUMMYFUNCTION("""COMPUTED_VALUE"""),"Silent Call: Perv Relapse")</f>
        <v>Silent Call: Perv Relapse</v>
      </c>
      <c r="D128" s="27" t="str">
        <f>IFERROR(__xludf.DUMMYFUNCTION("""COMPUTED_VALUE"""),"The listener relapses back into his old habits and I, being the accomplice/perv queen that I am, pushes all his buttons to remind him where he belongs.")</f>
        <v>The listener relapses back into his old habits and I, being the accomplice/perv queen that I am, pushes all his buttons to remind him where he belongs.</v>
      </c>
      <c r="E128" s="27" t="str">
        <f>IFERROR(__xludf.DUMMYFUNCTION("""COMPUTED_VALUE"""),"relapse, $nuff, necr0, noncon, wide range of #, accomplice, light humiliation")</f>
        <v>relapse, $nuff, necr0, noncon, wide range of #, accomplice, light humiliation</v>
      </c>
    </row>
    <row r="129">
      <c r="A129" s="52">
        <f>IFERROR(__xludf.DUMMYFUNCTION("""COMPUTED_VALUE"""),403.0)</f>
        <v>403</v>
      </c>
      <c r="B129" s="51">
        <f>IFERROR(__xludf.DUMMYFUNCTION("""COMPUTED_VALUE"""),45188.0)</f>
        <v>45188</v>
      </c>
      <c r="C129" s="27" t="str">
        <f>IFERROR(__xludf.DUMMYFUNCTION("""COMPUTED_VALUE"""),"Royal Theater Wank")</f>
        <v>Royal Theater Wank</v>
      </c>
      <c r="D129" s="27" t="str">
        <f>IFERROR(__xludf.DUMMYFUNCTION("""COMPUTED_VALUE"""),"I visit a pervert in London and we attend a show at the Royal Theater and of course, I make it pervy.")</f>
        <v>I visit a pervert in London and we attend a show at the Royal Theater and of course, I make it pervy.</v>
      </c>
      <c r="E129" s="27" t="str">
        <f>IFERROR(__xludf.DUMMYFUNCTION("""COMPUTED_VALUE"""),"accomplice, handjob, sfx/ambience, mom/daughter love, corruption, anal mention, public play")</f>
        <v>accomplice, handjob, sfx/ambience, mom/daughter love, corruption, anal mention, public play</v>
      </c>
    </row>
    <row r="130">
      <c r="A130" s="52">
        <f>IFERROR(__xludf.DUMMYFUNCTION("""COMPUTED_VALUE"""),404.0)</f>
        <v>404</v>
      </c>
      <c r="B130" s="51">
        <f>IFERROR(__xludf.DUMMYFUNCTION("""COMPUTED_VALUE"""),45191.0)</f>
        <v>45191</v>
      </c>
      <c r="C130" s="27" t="str">
        <f>IFERROR(__xludf.DUMMYFUNCTION("""COMPUTED_VALUE"""),"Daughter Corrupts Daddy")</f>
        <v>Daughter Corrupts Daddy</v>
      </c>
      <c r="D130" s="27" t="str">
        <f>IFERROR(__xludf.DUMMYFUNCTION("""COMPUTED_VALUE"""),"I confess how I corrupted my father into what I had always wished he was.")</f>
        <v>I confess how I corrupted my father into what I had always wished he was.</v>
      </c>
      <c r="E130" s="27" t="str">
        <f>IFERROR(__xludf.DUMMYFUNCTION("""COMPUTED_VALUE"""),"accomplice, DDlg, corruption, confessional")</f>
        <v>accomplice, DDlg, corruption, confessional</v>
      </c>
    </row>
    <row r="131">
      <c r="A131" s="52">
        <f>IFERROR(__xludf.DUMMYFUNCTION("""COMPUTED_VALUE"""),410.0)</f>
        <v>410</v>
      </c>
      <c r="B131" s="51">
        <f>IFERROR(__xludf.DUMMYFUNCTION("""COMPUTED_VALUE"""),45198.0)</f>
        <v>45198</v>
      </c>
      <c r="C131" s="27" t="str">
        <f>IFERROR(__xludf.DUMMYFUNCTION("""COMPUTED_VALUE"""),"Silent Call: Daddy’s Accomplice")</f>
        <v>Silent Call: Daddy’s Accomplice</v>
      </c>
      <c r="D131" s="27" t="str">
        <f>IFERROR(__xludf.DUMMYFUNCTION("""COMPUTED_VALUE"""),"Just a PSO getting a daddy off with filthy fantasies and hentai moaning in the background")</f>
        <v>Just a PSO getting a daddy off with filthy fantasies and hentai moaning in the background</v>
      </c>
      <c r="E131" s="27" t="str">
        <f>IFERROR(__xludf.DUMMYFUNCTION("""COMPUTED_VALUE"""),"accomplice, pervert encouragement, hentai moaning background")</f>
        <v>accomplice, pervert encouragement, hentai moaning background</v>
      </c>
    </row>
    <row r="132">
      <c r="A132" s="52">
        <f>IFERROR(__xludf.DUMMYFUNCTION("""COMPUTED_VALUE"""),411.0)</f>
        <v>411</v>
      </c>
      <c r="B132" s="51">
        <f>IFERROR(__xludf.DUMMYFUNCTION("""COMPUTED_VALUE"""),45198.0)</f>
        <v>45198</v>
      </c>
      <c r="C132" s="27" t="str">
        <f>IFERROR(__xludf.DUMMYFUNCTION("""COMPUTED_VALUE"""),"Seraphina’s Corruption Part 2")</f>
        <v>Seraphina’s Corruption Part 2</v>
      </c>
      <c r="D132" s="27" t="str">
        <f>IFERROR(__xludf.DUMMYFUNCTION("""COMPUTED_VALUE"""),"The listener’s guardian angel is back for more corruption and making him worse.")</f>
        <v>The listener’s guardian angel is back for more corruption and making him worse.</v>
      </c>
      <c r="E132" s="27" t="str">
        <f>IFERROR(__xludf.DUMMYFUNCTION("""COMPUTED_VALUE"""),"accomplice, pervert encouragement, hypnotic, blasphemy, satanic, sfx, higher pitched voice sfx, breeding")</f>
        <v>accomplice, pervert encouragement, hypnotic, blasphemy, satanic, sfx, higher pitched voice sfx, breeding</v>
      </c>
    </row>
    <row r="133">
      <c r="A133" s="52">
        <f>IFERROR(__xludf.DUMMYFUNCTION("""COMPUTED_VALUE"""),417.0)</f>
        <v>417</v>
      </c>
      <c r="B133" s="51">
        <f>IFERROR(__xludf.DUMMYFUNCTION("""COMPUTED_VALUE"""),45204.0)</f>
        <v>45204</v>
      </c>
      <c r="C133" s="27" t="str">
        <f>IFERROR(__xludf.DUMMYFUNCTION("""COMPUTED_VALUE"""),"Silent Call: Humiliating Yet Encouraging Wife Experience")</f>
        <v>Silent Call: Humiliating Yet Encouraging Wife Experience</v>
      </c>
      <c r="D133" s="27" t="str">
        <f>IFERROR(__xludf.DUMMYFUNCTION("""COMPUTED_VALUE"""),"God, my husband is the filthiest pervert. I wish he’d fuck me like that.")</f>
        <v>God, my husband is the filthiest pervert. I wish he’d fuck me like that.</v>
      </c>
      <c r="E133" s="27" t="str">
        <f>IFERROR(__xludf.DUMMYFUNCTION("""COMPUTED_VALUE"""),"humiliation, pervert encouragement, noncon, accomplice")</f>
        <v>humiliation, pervert encouragement, noncon, accomplice</v>
      </c>
    </row>
    <row r="134">
      <c r="A134" s="52">
        <f>IFERROR(__xludf.DUMMYFUNCTION("""COMPUTED_VALUE"""),422.0)</f>
        <v>422</v>
      </c>
      <c r="B134" s="51">
        <f>IFERROR(__xludf.DUMMYFUNCTION("""COMPUTED_VALUE"""),45210.0)</f>
        <v>45210</v>
      </c>
      <c r="C134" s="27" t="str">
        <f>IFERROR(__xludf.DUMMYFUNCTION("""COMPUTED_VALUE"""),"Custom: Encouraged Naughty Wank")</f>
        <v>Custom: Encouraged Naughty Wank</v>
      </c>
      <c r="D134" s="27" t="str">
        <f>IFERROR(__xludf.DUMMYFUNCTION("""COMPUTED_VALUE"""),"I know your naughty little secret and want to encourage you to wank even more over it.")</f>
        <v>I know your naughty little secret and want to encourage you to wank even more over it.</v>
      </c>
      <c r="E134" s="27" t="str">
        <f>IFERROR(__xludf.DUMMYFUNCTION("""COMPUTED_VALUE"""),"accomplice, male masturbation, touching, handjob")</f>
        <v>accomplice, male masturbation, touching, handjob</v>
      </c>
    </row>
    <row r="135">
      <c r="A135" s="52">
        <f>IFERROR(__xludf.DUMMYFUNCTION("""COMPUTED_VALUE"""),426.0)</f>
        <v>426</v>
      </c>
      <c r="B135" s="51">
        <f>IFERROR(__xludf.DUMMYFUNCTION("""COMPUTED_VALUE"""),45219.0)</f>
        <v>45219</v>
      </c>
      <c r="C135" s="27" t="str">
        <f>IFERROR(__xludf.DUMMYFUNCTION("""COMPUTED_VALUE"""),"Custom: Devious, Unexpected Accomplice")</f>
        <v>Custom: Devious, Unexpected Accomplice</v>
      </c>
      <c r="D135" s="27" t="str">
        <f>IFERROR(__xludf.DUMMYFUNCTION("""COMPUTED_VALUE"""),"An influencer holds a meet and greet and singles out a man because she knows the only reason he’s there…for the little views.")</f>
        <v>An influencer holds a meet and greet and singles out a man because she knows the only reason he’s there…for the little views.</v>
      </c>
      <c r="E135" s="27" t="str">
        <f>IFERROR(__xludf.DUMMYFUNCTION("""COMPUTED_VALUE"""),"accomplice, cosplay")</f>
        <v>accomplice, cosplay</v>
      </c>
    </row>
    <row r="136">
      <c r="A136" s="52">
        <f>IFERROR(__xludf.DUMMYFUNCTION("""COMPUTED_VALUE"""),427.0)</f>
        <v>427</v>
      </c>
      <c r="B136" s="51">
        <f>IFERROR(__xludf.DUMMYFUNCTION("""COMPUTED_VALUE"""),45220.0)</f>
        <v>45220</v>
      </c>
      <c r="C136" s="27" t="str">
        <f>IFERROR(__xludf.DUMMYFUNCTION("""COMPUTED_VALUE"""),"Silent Call: Parking Lot Accomplice")</f>
        <v>Silent Call: Parking Lot Accomplice</v>
      </c>
      <c r="D136" s="27" t="str">
        <f>IFERROR(__xludf.DUMMYFUNCTION("""COMPUTED_VALUE"""),"We show up to a parking lot so I can spew all kinds of perverted fantasies with what we see walking by.")</f>
        <v>We show up to a parking lot so I can spew all kinds of perverted fantasies with what we see walking by.</v>
      </c>
      <c r="E136" s="27" t="str">
        <f>IFERROR(__xludf.DUMMYFUNCTION("""COMPUTED_VALUE"""),"accomplice, snuff, necr0, noncon")</f>
        <v>accomplice, snuff, necr0, noncon</v>
      </c>
    </row>
    <row r="137">
      <c r="A137" s="52">
        <f>IFERROR(__xludf.DUMMYFUNCTION("""COMPUTED_VALUE"""),431.0)</f>
        <v>431</v>
      </c>
      <c r="B137" s="51">
        <f>IFERROR(__xludf.DUMMYFUNCTION("""COMPUTED_VALUE"""),45221.0)</f>
        <v>45221</v>
      </c>
      <c r="C137" s="27" t="str">
        <f>IFERROR(__xludf.DUMMYFUNCTION("""COMPUTED_VALUE"""),"AP Porn Widow Reprogramming")</f>
        <v>AP Porn Widow Reprogramming</v>
      </c>
      <c r="D137" s="27" t="str">
        <f>IFERROR(__xludf.DUMMYFUNCTION("""COMPUTED_VALUE"""),"I am the oracle of porn. The audio is geared towards porn widows, but made for a man’s enjoyment. Instead of a wife crying over her husband’s porn worship and addiction, submit to porn and her husband and be his naughty accomplice.")</f>
        <v>I am the oracle of porn. The audio is geared towards porn widows, but made for a man’s enjoyment. Instead of a wife crying over her husband’s porn worship and addiction, submit to porn and her husband and be his naughty accomplice.</v>
      </c>
      <c r="E137" s="27" t="str">
        <f>IFERROR(__xludf.DUMMYFUNCTION("""COMPUTED_VALUE"""),"porn encouragement, homewrecking, accomplice")</f>
        <v>porn encouragement, homewrecking, accomplice</v>
      </c>
    </row>
    <row r="138">
      <c r="A138" s="52">
        <f>IFERROR(__xludf.DUMMYFUNCTION("""COMPUTED_VALUE"""),434.0)</f>
        <v>434</v>
      </c>
      <c r="B138" s="51">
        <f>IFERROR(__xludf.DUMMYFUNCTION("""COMPUTED_VALUE"""),45222.0)</f>
        <v>45222</v>
      </c>
      <c r="C138" s="27" t="str">
        <f>IFERROR(__xludf.DUMMYFUNCTION("""COMPUTED_VALUE"""),"Script Fill: Halloween Princess")</f>
        <v>Script Fill: Halloween Princess</v>
      </c>
      <c r="D138" s="27" t="str">
        <f>IFERROR(__xludf.DUMMYFUNCTION("""COMPUTED_VALUE"""),"What happens when a couple are total pervs on Halloween?")</f>
        <v>What happens when a couple are total pervs on Halloween?</v>
      </c>
      <c r="E138" s="27" t="str">
        <f>IFERROR(__xludf.DUMMYFUNCTION("""COMPUTED_VALUE"""),"intoxication, accomplice, pervy wife experience, oral, facial")</f>
        <v>intoxication, accomplice, pervy wife experience, oral, facial</v>
      </c>
    </row>
    <row r="139">
      <c r="A139" s="52">
        <f>IFERROR(__xludf.DUMMYFUNCTION("""COMPUTED_VALUE"""),437.0)</f>
        <v>437</v>
      </c>
      <c r="B139" s="51">
        <f>IFERROR(__xludf.DUMMYFUNCTION("""COMPUTED_VALUE"""),45225.0)</f>
        <v>45225</v>
      </c>
      <c r="C139" s="27" t="str">
        <f>IFERROR(__xludf.DUMMYFUNCTION("""COMPUTED_VALUE"""),"Custom: Queen of Corruption")</f>
        <v>Custom: Queen of Corruption</v>
      </c>
      <c r="D139" s="27" t="str">
        <f>IFERROR(__xludf.DUMMYFUNCTION("""COMPUTED_VALUE"""),"I kind of have a thing for corrupting innocent men and turning them into addicted perverts.")</f>
        <v>I kind of have a thing for corrupting innocent men and turning them into addicted perverts.</v>
      </c>
      <c r="E139" s="27" t="str">
        <f>IFERROR(__xludf.DUMMYFUNCTION("""COMPUTED_VALUE"""),"corruption, accomplice")</f>
        <v>corruption, accomplice</v>
      </c>
    </row>
    <row r="140">
      <c r="A140" s="52">
        <f>IFERROR(__xludf.DUMMYFUNCTION("""COMPUTED_VALUE"""),438.0)</f>
        <v>438</v>
      </c>
      <c r="B140" s="51">
        <f>IFERROR(__xludf.DUMMYFUNCTION("""COMPUTED_VALUE"""),45225.0)</f>
        <v>45225</v>
      </c>
      <c r="C140" s="27" t="str">
        <f>IFERROR(__xludf.DUMMYFUNCTION("""COMPUTED_VALUE"""),"Silent Call: Submissive Accomplice")</f>
        <v>Silent Call: Submissive Accomplice</v>
      </c>
      <c r="D140" s="27" t="str">
        <f>IFERROR(__xludf.DUMMYFUNCTION("""COMPUTED_VALUE"""),"A mother ends up being a man’s perfect accomplice.")</f>
        <v>A mother ends up being a man’s perfect accomplice.</v>
      </c>
      <c r="E140" s="27" t="str">
        <f>IFERROR(__xludf.DUMMYFUNCTION("""COMPUTED_VALUE"""),"accomplice, slow build, noncon")</f>
        <v>accomplice, slow build, noncon</v>
      </c>
    </row>
    <row r="141">
      <c r="A141" s="52">
        <f>IFERROR(__xludf.DUMMYFUNCTION("""COMPUTED_VALUE"""),441.0)</f>
        <v>441</v>
      </c>
      <c r="B141" s="51">
        <f>IFERROR(__xludf.DUMMYFUNCTION("""COMPUTED_VALUE"""),45231.0)</f>
        <v>45231</v>
      </c>
      <c r="C141" s="27" t="str">
        <f>IFERROR(__xludf.DUMMYFUNCTION("""COMPUTED_VALUE"""),"Custom: Daddy's Bride")</f>
        <v>Custom: Daddy's Bride</v>
      </c>
      <c r="D141" s="27" t="str">
        <f>IFERROR(__xludf.DUMMYFUNCTION("""COMPUTED_VALUE"""),"Daddy marries his daughter with Mommy's encouragement and cements their bond with  breeding on their honeymoon.")</f>
        <v>Daddy marries his daughter with Mommy's encouragement and cements their bond with  breeding on their honeymoon.</v>
      </c>
      <c r="E141" s="27" t="str">
        <f>IFERROR(__xludf.DUMMYFUNCTION("""COMPUTED_VALUE"""),"DDlg, accomplice, breeding, incest")</f>
        <v>DDlg, accomplice, breeding, incest</v>
      </c>
    </row>
    <row r="142">
      <c r="A142" s="52">
        <f>IFERROR(__xludf.DUMMYFUNCTION("""COMPUTED_VALUE"""),452.0)</f>
        <v>452</v>
      </c>
      <c r="B142" s="51">
        <f>IFERROR(__xludf.DUMMYFUNCTION("""COMPUTED_VALUE"""),45241.0)</f>
        <v>45241</v>
      </c>
      <c r="C142" s="27" t="str">
        <f>IFERROR(__xludf.DUMMYFUNCTION("""COMPUTED_VALUE"""),"Custom: Regressed Hookup")</f>
        <v>Custom: Regressed Hookup</v>
      </c>
      <c r="D142" s="27" t="str">
        <f>IFERROR(__xludf.DUMMYFUNCTION("""COMPUTED_VALUE"""),"The listener picks up a girl from a bar and ends up revealing what she really is. ")</f>
        <v>The listener picks up a girl from a bar and ends up revealing what she really is. </v>
      </c>
      <c r="E142" s="27" t="str">
        <f>IFERROR(__xludf.DUMMYFUNCTION("""COMPUTED_VALUE"""),"pervert encouragement, corruption, porn addict, accomplice")</f>
        <v>pervert encouragement, corruption, porn addict, accomplice</v>
      </c>
    </row>
    <row r="143">
      <c r="A143" s="52">
        <f>IFERROR(__xludf.DUMMYFUNCTION("""COMPUTED_VALUE"""),453.0)</f>
        <v>453</v>
      </c>
      <c r="B143" s="51">
        <f>IFERROR(__xludf.DUMMYFUNCTION("""COMPUTED_VALUE"""),45241.0)</f>
        <v>45241</v>
      </c>
      <c r="C143" s="27" t="str">
        <f>IFERROR(__xludf.DUMMYFUNCTION("""COMPUTED_VALUE"""),"Custom: Intoxicated Training")</f>
        <v>Custom: Intoxicated Training</v>
      </c>
      <c r="D143" s="27" t="str">
        <f>IFERROR(__xludf.DUMMYFUNCTION("""COMPUTED_VALUE"""),"I help you train good girls to be cum hungry sluts through a little Pavlov inspired intoxication")</f>
        <v>I help you train good girls to be cum hungry sluts through a little Pavlov inspired intoxication</v>
      </c>
      <c r="E143" s="27" t="str">
        <f>IFERROR(__xludf.DUMMYFUNCTION("""COMPUTED_VALUE"""),"pervert encouragement, accomplice, intoxication, cumslut")</f>
        <v>pervert encouragement, accomplice, intoxication, cumslut</v>
      </c>
    </row>
    <row r="144">
      <c r="A144" s="52">
        <f>IFERROR(__xludf.DUMMYFUNCTION("""COMPUTED_VALUE"""),460.0)</f>
        <v>460</v>
      </c>
      <c r="B144" s="51">
        <f>IFERROR(__xludf.DUMMYFUNCTION("""COMPUTED_VALUE"""),45247.0)</f>
        <v>45247</v>
      </c>
      <c r="C144" s="27" t="str">
        <f>IFERROR(__xludf.DUMMYFUNCTION("""COMPUTED_VALUE"""),"Silent Call: Mommy Accomplice Corruption")</f>
        <v>Silent Call: Mommy Accomplice Corruption</v>
      </c>
      <c r="D144" s="27" t="str">
        <f>IFERROR(__xludf.DUMMYFUNCTION("""COMPUTED_VALUE"""),"Your mom pulls out the pervert inside of you. ")</f>
        <v>Your mom pulls out the pervert inside of you. </v>
      </c>
      <c r="E144" s="27" t="str">
        <f>IFERROR(__xludf.DUMMYFUNCTION("""COMPUTED_VALUE"""),"incest, pervert encouragement, accomplice")</f>
        <v>incest, pervert encouragement, accomplice</v>
      </c>
    </row>
    <row r="145">
      <c r="A145" s="52">
        <f>IFERROR(__xludf.DUMMYFUNCTION("""COMPUTED_VALUE"""),465.0)</f>
        <v>465</v>
      </c>
      <c r="B145" s="51">
        <f>IFERROR(__xludf.DUMMYFUNCTION("""COMPUTED_VALUE"""),45253.0)</f>
        <v>45253</v>
      </c>
      <c r="C145" s="27" t="str">
        <f>IFERROR(__xludf.DUMMYFUNCTION("""COMPUTED_VALUE"""),"Improv: Suck Em Fuck Em Twins Pt 2")</f>
        <v>Improv: Suck Em Fuck Em Twins Pt 2</v>
      </c>
      <c r="D145" s="27" t="str">
        <f>IFERROR(__xludf.DUMMYFUNCTION("""COMPUTED_VALUE"""),"The twins grow up and our two male characters are still in their life. ")</f>
        <v>The twins grow up and our two male characters are still in their life. </v>
      </c>
      <c r="E145" s="27" t="str">
        <f>IFERROR(__xludf.DUMMYFUNCTION("""COMPUTED_VALUE"""),"DDlg, corruption, group sex, accomplice")</f>
        <v>DDlg, corruption, group sex, accomplice</v>
      </c>
    </row>
    <row r="146">
      <c r="A146" s="52">
        <f>IFERROR(__xludf.DUMMYFUNCTION("""COMPUTED_VALUE"""),467.0)</f>
        <v>467</v>
      </c>
      <c r="B146" s="51">
        <f>IFERROR(__xludf.DUMMYFUNCTION("""COMPUTED_VALUE"""),45253.0)</f>
        <v>45253</v>
      </c>
      <c r="C146" s="27" t="str">
        <f>IFERROR(__xludf.DUMMYFUNCTION("""COMPUTED_VALUE"""),"Silent Call: Santa’s Elf")</f>
        <v>Silent Call: Santa’s Elf</v>
      </c>
      <c r="D146" s="27" t="str">
        <f>IFERROR(__xludf.DUMMYFUNCTION("""COMPUTED_VALUE"""),"I’m Santa’s accomplice elf and make sure Santa gets everything he wants. ")</f>
        <v>I’m Santa’s accomplice elf and make sure Santa gets everything he wants. </v>
      </c>
      <c r="E146" s="27" t="str">
        <f>IFERROR(__xludf.DUMMYFUNCTION("""COMPUTED_VALUE"""),"accomplice, bad mom, oral, creampie, creampie cleanup")</f>
        <v>accomplice, bad mom, oral, creampie, creampie cleanup</v>
      </c>
    </row>
    <row r="147">
      <c r="A147" s="52">
        <f>IFERROR(__xludf.DUMMYFUNCTION("""COMPUTED_VALUE"""),472.0)</f>
        <v>472</v>
      </c>
      <c r="B147" s="51">
        <f>IFERROR(__xludf.DUMMYFUNCTION("""COMPUTED_VALUE"""),45631.0)</f>
        <v>45631</v>
      </c>
      <c r="C147" s="27" t="str">
        <f>IFERROR(__xludf.DUMMYFUNCTION("""COMPUTED_VALUE"""),"Silent Call: Naughty Mommy Helper")</f>
        <v>Silent Call: Naughty Mommy Helper</v>
      </c>
      <c r="D147" s="27" t="str">
        <f>IFERROR(__xludf.DUMMYFUNCTION("""COMPUTED_VALUE"""),"Another slow burn about a mom accomplice, full of encouragement and persistence. ")</f>
        <v>Another slow burn about a mom accomplice, full of encouragement and persistence. </v>
      </c>
      <c r="E147" s="27" t="str">
        <f>IFERROR(__xludf.DUMMYFUNCTION("""COMPUTED_VALUE"""),"accomplice, slow burn, confessional style")</f>
        <v>accomplice, slow burn, confessional style</v>
      </c>
    </row>
    <row r="148">
      <c r="A148" s="52">
        <f>IFERROR(__xludf.DUMMYFUNCTION("""COMPUTED_VALUE"""),474.0)</f>
        <v>474</v>
      </c>
      <c r="B148" s="51">
        <f>IFERROR(__xludf.DUMMYFUNCTION("""COMPUTED_VALUE"""),45633.0)</f>
        <v>45633</v>
      </c>
      <c r="C148" s="27" t="str">
        <f>IFERROR(__xludf.DUMMYFUNCTION("""COMPUTED_VALUE"""),"Custom: Santa’s Good Girl")</f>
        <v>Custom: Santa’s Good Girl</v>
      </c>
      <c r="D148" s="27" t="str">
        <f>IFERROR(__xludf.DUMMYFUNCTION("""COMPUTED_VALUE""")," I am completely brainwashed by my parents that Santa is in fact real because he comes and visits my bedroom every single year and spreads so much magic inside and on me. He even brings elves, special misfit toys, and Rudolph!!")</f>
        <v> I am completely brainwashed by my parents that Santa is in fact real because he comes and visits my bedroom every single year and spreads so much magic inside and on me. He even brings elves, special misfit toys, and Rudolph!!</v>
      </c>
      <c r="E148" s="27" t="str">
        <f>IFERROR(__xludf.DUMMYFUNCTION("""COMPUTED_VALUE"""),"making the holiday pervy af, cum play, glory hole, beast, parent accomplices, webcam")</f>
        <v>making the holiday pervy af, cum play, glory hole, beast, parent accomplices, webcam</v>
      </c>
    </row>
    <row r="149">
      <c r="A149" s="52">
        <f>IFERROR(__xludf.DUMMYFUNCTION("""COMPUTED_VALUE"""),483.0)</f>
        <v>483</v>
      </c>
      <c r="B149" s="51">
        <f>IFERROR(__xludf.DUMMYFUNCTION("""COMPUTED_VALUE"""),45646.0)</f>
        <v>45646</v>
      </c>
      <c r="C149" s="27" t="str">
        <f>IFERROR(__xludf.DUMMYFUNCTION("""COMPUTED_VALUE"""),"Silent Call: Naughty Wife Accomplice")</f>
        <v>Silent Call: Naughty Wife Accomplice</v>
      </c>
      <c r="D149" s="27" t="str">
        <f>IFERROR(__xludf.DUMMYFUNCTION("""COMPUTED_VALUE"""),"I’m your wife and we’ve discovered we’re both perverts.")</f>
        <v>I’m your wife and we’ve discovered we’re both perverts.</v>
      </c>
      <c r="E149" s="27" t="str">
        <f>IFERROR(__xludf.DUMMYFUNCTION("""COMPUTED_VALUE"""),"pervert encouragement, accomplice, noncon")</f>
        <v>pervert encouragement, accomplice, noncon</v>
      </c>
    </row>
    <row r="150">
      <c r="A150" s="52">
        <f>IFERROR(__xludf.DUMMYFUNCTION("""COMPUTED_VALUE"""),486.0)</f>
        <v>486</v>
      </c>
      <c r="B150" s="51">
        <f>IFERROR(__xludf.DUMMYFUNCTION("""COMPUTED_VALUE"""),45647.0)</f>
        <v>45647</v>
      </c>
      <c r="C150" s="27" t="str">
        <f>IFERROR(__xludf.DUMMYFUNCTION("""COMPUTED_VALUE"""),"Improv: Daughter Lessons")</f>
        <v>Improv: Daughter Lessons</v>
      </c>
      <c r="D150" s="27" t="str">
        <f>IFERROR(__xludf.DUMMYFUNCTION("""COMPUTED_VALUE"""),"Your accomplice’s homeschool lessons for your daughters.")</f>
        <v>Your accomplice’s homeschool lessons for your daughters.</v>
      </c>
      <c r="E150" s="27" t="str">
        <f>IFERROR(__xludf.DUMMYFUNCTION("""COMPUTED_VALUE"""),"DDlg, accomplice, incest, inbreeding")</f>
        <v>DDlg, accomplice, incest, inbreeding</v>
      </c>
    </row>
    <row r="151">
      <c r="A151" s="52">
        <f>IFERROR(__xludf.DUMMYFUNCTION("""COMPUTED_VALUE"""),489.0)</f>
        <v>489</v>
      </c>
      <c r="B151" s="51">
        <f>IFERROR(__xludf.DUMMYFUNCTION("""COMPUTED_VALUE"""),45653.0)</f>
        <v>45653</v>
      </c>
      <c r="C151" s="27" t="str">
        <f>IFERROR(__xludf.DUMMYFUNCTION("""COMPUTED_VALUE"""),"Custom Collab w/Katie Kat: PSO ")</f>
        <v>Custom Collab w/Katie Kat: PSO </v>
      </c>
      <c r="D151" s="27" t="str">
        <f>IFERROR(__xludf.DUMMYFUNCTION("""COMPUTED_VALUE"""),"Katie Kat is my daughter and I want her to follow in my footsteps as a taboo PSO and audio creator. This is her first lesson. ")</f>
        <v>Katie Kat is my daughter and I want her to follow in my footsteps as a taboo PSO and audio creator. This is her first lesson. </v>
      </c>
      <c r="E151" s="27" t="str">
        <f>IFERROR(__xludf.DUMMYFUNCTION("""COMPUTED_VALUE"""),"MDlg, training, accomplice, corruption, PSO")</f>
        <v>MDlg, training, accomplice, corruption, PSO</v>
      </c>
    </row>
    <row r="152">
      <c r="A152" s="52">
        <f>IFERROR(__xludf.DUMMYFUNCTION("""COMPUTED_VALUE"""),490.0)</f>
        <v>490</v>
      </c>
      <c r="B152" s="51">
        <f>IFERROR(__xludf.DUMMYFUNCTION("""COMPUTED_VALUE"""),45653.0)</f>
        <v>45653</v>
      </c>
      <c r="C152" s="27" t="str">
        <f>IFERROR(__xludf.DUMMYFUNCTION("""COMPUTED_VALUE"""),"Script Fill: Unholy Trinity")</f>
        <v>Script Fill: Unholy Trinity</v>
      </c>
      <c r="D152" s="27" t="str">
        <f>IFERROR(__xludf.DUMMYFUNCTION("""COMPUTED_VALUE"""),"Sister Lilith will help you with your troubles by making them worse. ")</f>
        <v>Sister Lilith will help you with your troubles by making them worse. </v>
      </c>
      <c r="E152" s="27" t="str">
        <f>IFERROR(__xludf.DUMMYFUNCTION("""COMPUTED_VALUE"""),"blasphemy, nun, corruption, accomplice")</f>
        <v>blasphemy, nun, corruption, accomplice</v>
      </c>
    </row>
    <row r="153">
      <c r="A153" s="52">
        <f>IFERROR(__xludf.DUMMYFUNCTION("""COMPUTED_VALUE"""),497.0)</f>
        <v>497</v>
      </c>
      <c r="B153" s="51">
        <f>IFERROR(__xludf.DUMMYFUNCTION("""COMPUTED_VALUE"""),45295.0)</f>
        <v>45295</v>
      </c>
      <c r="C153" s="27" t="str">
        <f>IFERROR(__xludf.DUMMYFUNCTION("""COMPUTED_VALUE"""),"Improv: Best Mom Ever Pt 2")</f>
        <v>Improv: Best Mom Ever Pt 2</v>
      </c>
      <c r="D153" s="27" t="str">
        <f>IFERROR(__xludf.DUMMYFUNCTION("""COMPUTED_VALUE"""),"Your loving, slut mommy is proud of you for turning our daughter into your anal whore.")</f>
        <v>Your loving, slut mommy is proud of you for turning our daughter into your anal whore.</v>
      </c>
      <c r="E153" s="27" t="str">
        <f>IFERROR(__xludf.DUMMYFUNCTION("""COMPUTED_VALUE"""),"anal only, MDlb, accomplice mommy, loving mommy, misogyny, ass to mouth")</f>
        <v>anal only, MDlb, accomplice mommy, loving mommy, misogyny, ass to mouth</v>
      </c>
    </row>
    <row r="154">
      <c r="A154" s="52">
        <f>IFERROR(__xludf.DUMMYFUNCTION("""COMPUTED_VALUE"""),500.0)</f>
        <v>500</v>
      </c>
      <c r="B154" s="51">
        <f>IFERROR(__xludf.DUMMYFUNCTION("""COMPUTED_VALUE"""),45296.0)</f>
        <v>45296</v>
      </c>
      <c r="C154" s="27" t="str">
        <f>IFERROR(__xludf.DUMMYFUNCTION("""COMPUTED_VALUE"""),"Improv: Daddy Encourages Breastfeeding Mommy")</f>
        <v>Improv: Daddy Encourages Breastfeeding Mommy</v>
      </c>
      <c r="D154" s="27" t="str">
        <f>IFERROR(__xludf.DUMMYFUNCTION("""COMPUTED_VALUE"""),"A mom admits how horny she gets breastfeeding and daddy encourages more.  ")</f>
        <v>A mom admits how horny she gets breastfeeding and daddy encourages more.  </v>
      </c>
      <c r="E154" s="27" t="str">
        <f>IFERROR(__xludf.DUMMYFUNCTION("""COMPUTED_VALUE"""),"MDlb, breastfeeding, female moans, daddy accomplice")</f>
        <v>MDlb, breastfeeding, female moans, daddy accomplice</v>
      </c>
    </row>
    <row r="155">
      <c r="A155" s="52">
        <f>IFERROR(__xludf.DUMMYFUNCTION("""COMPUTED_VALUE"""),502.0)</f>
        <v>502</v>
      </c>
      <c r="B155" s="51">
        <f>IFERROR(__xludf.DUMMYFUNCTION("""COMPUTED_VALUE"""),45298.0)</f>
        <v>45298</v>
      </c>
      <c r="C155" s="27" t="str">
        <f>IFERROR(__xludf.DUMMYFUNCTION("""COMPUTED_VALUE"""),"Custom: Extreme Wife Accomplice w/Beast")</f>
        <v>Custom: Extreme Wife Accomplice w/Beast</v>
      </c>
      <c r="D155" s="27" t="str">
        <f>IFERROR(__xludf.DUMMYFUNCTION("""COMPUTED_VALUE"""),"Extreme beast role-play where I role-play as your wife that helps satisfy one of your super depraved fantasies. ")</f>
        <v>Extreme beast role-play where I role-play as your wife that helps satisfy one of your super depraved fantasies. </v>
      </c>
      <c r="E155" s="27" t="str">
        <f>IFERROR(__xludf.DUMMYFUNCTION("""COMPUTED_VALUE"""),"EXTREME, beast, snuff, necro, accomplice, brief scat mention")</f>
        <v>EXTREME, beast, snuff, necro, accomplice, brief scat mention</v>
      </c>
    </row>
    <row r="156">
      <c r="A156" s="52">
        <f>IFERROR(__xludf.DUMMYFUNCTION("""COMPUTED_VALUE"""),513.0)</f>
        <v>513</v>
      </c>
      <c r="B156" s="51">
        <f>IFERROR(__xludf.DUMMYFUNCTION("""COMPUTED_VALUE"""),45314.0)</f>
        <v>45314</v>
      </c>
      <c r="C156" s="27" t="str">
        <f>IFERROR(__xludf.DUMMYFUNCTION("""COMPUTED_VALUE""")," Improv: DDlg Blackmail Accomplice")</f>
        <v> Improv: DDlg Blackmail Accomplice</v>
      </c>
      <c r="D156" s="27" t="str">
        <f>IFERROR(__xludf.DUMMYFUNCTION("""COMPUTED_VALUE""")," I’m so into real DDlg that I blackmail you into crossing the line. ")</f>
        <v> I’m so into real DDlg that I blackmail you into crossing the line. </v>
      </c>
      <c r="E156" s="27" t="str">
        <f>IFERROR(__xludf.DUMMYFUNCTION("""COMPUTED_VALUE"""),"ddlg, accomplice, blackmail, panties")</f>
        <v>ddlg, accomplice, blackmail, panties</v>
      </c>
    </row>
    <row r="157">
      <c r="A157" s="52">
        <f>IFERROR(__xludf.DUMMYFUNCTION("""COMPUTED_VALUE"""),514.0)</f>
        <v>514</v>
      </c>
      <c r="B157" s="51">
        <f>IFERROR(__xludf.DUMMYFUNCTION("""COMPUTED_VALUE"""),45314.0)</f>
        <v>45314</v>
      </c>
      <c r="C157" s="27" t="str">
        <f>IFERROR(__xludf.DUMMYFUNCTION("""COMPUTED_VALUE"""),"Silent Call: Troubled Mom Diary")</f>
        <v>Silent Call: Troubled Mom Diary</v>
      </c>
      <c r="D157" s="27" t="str">
        <f>IFERROR(__xludf.DUMMYFUNCTION("""COMPUTED_VALUE"""),"A tale told through a mother’s diary entries about how she fell into a dark accomplice role")</f>
        <v>A tale told through a mother’s diary entries about how she fell into a dark accomplice role</v>
      </c>
      <c r="E157" s="27" t="str">
        <f>IFERROR(__xludf.DUMMYFUNCTION("""COMPUTED_VALUE"""),"accomplice, bad mom, noncon")</f>
        <v>accomplice, bad mom, noncon</v>
      </c>
    </row>
    <row r="158">
      <c r="A158" s="52">
        <f>IFERROR(__xludf.DUMMYFUNCTION("""COMPUTED_VALUE"""),516.0)</f>
        <v>516</v>
      </c>
      <c r="B158" s="51">
        <f>IFERROR(__xludf.DUMMYFUNCTION("""COMPUTED_VALUE"""),45317.0)</f>
        <v>45317</v>
      </c>
      <c r="C158" s="27" t="str">
        <f>IFERROR(__xludf.DUMMYFUNCTION("""COMPUTED_VALUE""")," Silent Call: Perverted Teacher Experience")</f>
        <v> Silent Call: Perverted Teacher Experience</v>
      </c>
      <c r="D158" s="27" t="str">
        <f>IFERROR(__xludf.DUMMYFUNCTION("""COMPUTED_VALUE""")," You’re dating me, a teacher, and I bring out the perverted side of you. ")</f>
        <v> You’re dating me, a teacher, and I bring out the perverted side of you. </v>
      </c>
      <c r="E158" s="27" t="str">
        <f>IFERROR(__xludf.DUMMYFUNCTION("""COMPUTED_VALUE"""),"accomplice, DDlg, pervert encouragement")</f>
        <v>accomplice, DDlg, pervert encouragement</v>
      </c>
    </row>
    <row r="159">
      <c r="A159" s="52">
        <f>IFERROR(__xludf.DUMMYFUNCTION("""COMPUTED_VALUE"""),521.0)</f>
        <v>521</v>
      </c>
      <c r="B159" s="51">
        <f>IFERROR(__xludf.DUMMYFUNCTION("""COMPUTED_VALUE"""),45324.0)</f>
        <v>45324</v>
      </c>
      <c r="C159" s="27" t="str">
        <f>IFERROR(__xludf.DUMMYFUNCTION("""COMPUTED_VALUE"""),"Improv: Car Ride Accomplice")</f>
        <v>Improv: Car Ride Accomplice</v>
      </c>
      <c r="D159" s="27" t="str">
        <f>IFERROR(__xludf.DUMMYFUNCTION("""COMPUTED_VALUE"""),"We’re in the back of a car with my little cousin and I encourage the most depraved activities. ")</f>
        <v>We’re in the back of a car with my little cousin and I encourage the most depraved activities. </v>
      </c>
      <c r="E159" s="27" t="str">
        <f>IFERROR(__xludf.DUMMYFUNCTION("""COMPUTED_VALUE"""),"accomplice, 3dio binaural mic, pervert encouragement, cum countdown w/surprise denial")</f>
        <v>accomplice, 3dio binaural mic, pervert encouragement, cum countdown w/surprise denial</v>
      </c>
    </row>
    <row r="160">
      <c r="A160" s="52">
        <f>IFERROR(__xludf.DUMMYFUNCTION("""COMPUTED_VALUE"""),528.0)</f>
        <v>528</v>
      </c>
      <c r="B160" s="51">
        <f>IFERROR(__xludf.DUMMYFUNCTION("""COMPUTED_VALUE"""),45332.0)</f>
        <v>45332</v>
      </c>
      <c r="C160" s="27" t="str">
        <f>IFERROR(__xludf.DUMMYFUNCTION("""COMPUTED_VALUE"""),"Improv: Toybox Inspiration")</f>
        <v>Improv: Toybox Inspiration</v>
      </c>
      <c r="D160" s="27" t="str">
        <f>IFERROR(__xludf.DUMMYFUNCTION("""COMPUTED_VALUE"""),"If you know of the toy box killer, this setup will sound familiar. I role-play as the ultimate accomplice, introducing a new sex slave to their new enslavement to me and P Daddy. ")</f>
        <v>If you know of the toy box killer, this setup will sound familiar. I role-play as the ultimate accomplice, introducing a new sex slave to their new enslavement to me and P Daddy. </v>
      </c>
      <c r="E160" s="27" t="str">
        <f>IFERROR(__xludf.DUMMYFUNCTION("""COMPUTED_VALUE"""),"accomplice, intoxication, noncon, snuff")</f>
        <v>accomplice, intoxication, noncon, snuff</v>
      </c>
    </row>
    <row r="161">
      <c r="A161" s="52">
        <f>IFERROR(__xludf.DUMMYFUNCTION("""COMPUTED_VALUE"""),545.0)</f>
        <v>545</v>
      </c>
      <c r="B161" s="51">
        <f>IFERROR(__xludf.DUMMYFUNCTION("""COMPUTED_VALUE"""),45359.0)</f>
        <v>45359</v>
      </c>
      <c r="C161" s="27" t="str">
        <f>IFERROR(__xludf.DUMMYFUNCTION("""COMPUTED_VALUE"""),"Improv: Perv Goon Bliss")</f>
        <v>Improv: Perv Goon Bliss</v>
      </c>
      <c r="D161" s="27" t="str">
        <f>IFERROR(__xludf.DUMMYFUNCTION("""COMPUTED_VALUE"""),"Trigger heavy perv goon bliss. ")</f>
        <v>Trigger heavy perv goon bliss. </v>
      </c>
      <c r="E161" s="27" t="str">
        <f>IFERROR(__xludf.DUMMYFUNCTION("""COMPUTED_VALUE"""),"accomplice, pervert encouragement, noncon, snuff, necro")</f>
        <v>accomplice, pervert encouragement, noncon, snuff, necro</v>
      </c>
    </row>
    <row r="162">
      <c r="A162" s="52">
        <f>IFERROR(__xludf.DUMMYFUNCTION("""COMPUTED_VALUE"""),546.0)</f>
        <v>546</v>
      </c>
      <c r="B162" s="51">
        <f>IFERROR(__xludf.DUMMYFUNCTION("""COMPUTED_VALUE"""),45359.0)</f>
        <v>45359</v>
      </c>
      <c r="C162" s="27" t="str">
        <f>IFERROR(__xludf.DUMMYFUNCTION("""COMPUTED_VALUE"""),"Silent Call: Misogyny Mommy Lesson")</f>
        <v>Silent Call: Misogyny Mommy Lesson</v>
      </c>
      <c r="D162" s="27" t="str">
        <f>IFERROR(__xludf.DUMMYFUNCTION("""COMPUTED_VALUE"""),"Since it’s International Woman’s Day, a mother teachers her daughter the real lessons of being female. ")</f>
        <v>Since it’s International Woman’s Day, a mother teachers her daughter the real lessons of being female. </v>
      </c>
      <c r="E162" s="27" t="str">
        <f>IFERROR(__xludf.DUMMYFUNCTION("""COMPUTED_VALUE"""),"misogyny, gender traitor, accomplice, self degradation, noncon")</f>
        <v>misogyny, gender traitor, accomplice, self degradation, noncon</v>
      </c>
    </row>
    <row r="163">
      <c r="A163" s="52">
        <f>IFERROR(__xludf.DUMMYFUNCTION("""COMPUTED_VALUE"""),555.0)</f>
        <v>555</v>
      </c>
      <c r="B163" s="51">
        <f>IFERROR(__xludf.DUMMYFUNCTION("""COMPUTED_VALUE"""),45369.0)</f>
        <v>45369</v>
      </c>
      <c r="C163" s="27" t="str">
        <f>IFERROR(__xludf.DUMMYFUNCTION("""COMPUTED_VALUE"""),"Improv: Perv Queen Phone Call")</f>
        <v>Improv: Perv Queen Phone Call</v>
      </c>
      <c r="D163" s="27" t="str">
        <f>IFERROR(__xludf.DUMMYFUNCTION("""COMPUTED_VALUE"""),"You’re in jail and about to be released. Your perv queen accomplice calls to let you know what’s in store when you’re finally released with a perverted JOI. ")</f>
        <v>You’re in jail and about to be released. Your perv queen accomplice calls to let you know what’s in store when you’re finally released with a perverted JOI. </v>
      </c>
      <c r="E163" s="27" t="str">
        <f>IFERROR(__xludf.DUMMYFUNCTION("""COMPUTED_VALUE"""),"accomplice, pervert encouragement, JOI, snuff, noncon, humiliation")</f>
        <v>accomplice, pervert encouragement, JOI, snuff, noncon, humiliation</v>
      </c>
    </row>
    <row r="164">
      <c r="A164" s="52">
        <f>IFERROR(__xludf.DUMMYFUNCTION("""COMPUTED_VALUE"""),558.0)</f>
        <v>558</v>
      </c>
      <c r="B164" s="51">
        <f>IFERROR(__xludf.DUMMYFUNCTION("""COMPUTED_VALUE"""),45369.0)</f>
        <v>45369</v>
      </c>
      <c r="C164" s="27" t="str">
        <f>IFERROR(__xludf.DUMMYFUNCTION("""COMPUTED_VALUE"""),"Silent Call: Corrupted Mother")</f>
        <v>Silent Call: Corrupted Mother</v>
      </c>
      <c r="D164" s="27" t="str">
        <f>IFERROR(__xludf.DUMMYFUNCTION("""COMPUTED_VALUE"""),"Two for one story. A mother dives into an incestuous relationship which then leads to another story about another mother that was used for their pleasure. ")</f>
        <v>Two for one story. A mother dives into an incestuous relationship which then leads to another story about another mother that was used for their pleasure. </v>
      </c>
      <c r="E164" s="27" t="str">
        <f>IFERROR(__xludf.DUMMYFUNCTION("""COMPUTED_VALUE"""),"MDlb, DDlg, incest, accomplice")</f>
        <v>MDlb, DDlg, incest, accomplice</v>
      </c>
    </row>
    <row r="165">
      <c r="A165" s="52">
        <f>IFERROR(__xludf.DUMMYFUNCTION("""COMPUTED_VALUE"""),564.0)</f>
        <v>564</v>
      </c>
      <c r="B165" s="51">
        <f>IFERROR(__xludf.DUMMYFUNCTION("""COMPUTED_VALUE"""),45373.0)</f>
        <v>45373</v>
      </c>
      <c r="C165" s="27" t="str">
        <f>IFERROR(__xludf.DUMMYFUNCTION("""COMPUTED_VALUE"""),"Improv: Public Daddy Dare")</f>
        <v>Improv: Public Daddy Dare</v>
      </c>
      <c r="D165" s="27" t="str">
        <f>IFERROR(__xludf.DUMMYFUNCTION("""COMPUTED_VALUE"""),"A dare a step father to get so turned on during a sports event that he has to run to the bathroom to pump one out. ")</f>
        <v>A dare a step father to get so turned on during a sports event that he has to run to the bathroom to pump one out. </v>
      </c>
      <c r="E165" s="27" t="str">
        <f>IFERROR(__xludf.DUMMYFUNCTION("""COMPUTED_VALUE"""),"DDlg, accomplice, public play")</f>
        <v>DDlg, accomplice, public play</v>
      </c>
    </row>
    <row r="166">
      <c r="A166" s="52">
        <f>IFERROR(__xludf.DUMMYFUNCTION("""COMPUTED_VALUE"""),565.0)</f>
        <v>565</v>
      </c>
      <c r="B166" s="51">
        <f>IFERROR(__xludf.DUMMYFUNCTION("""COMPUTED_VALUE"""),45374.0)</f>
        <v>45374</v>
      </c>
      <c r="C166" s="27" t="str">
        <f>IFERROR(__xludf.DUMMYFUNCTION("""COMPUTED_VALUE"""),"Improv: DDlg Hypnotherapy Session")</f>
        <v>Improv: DDlg Hypnotherapy Session</v>
      </c>
      <c r="D166" s="27" t="str">
        <f>IFERROR(__xludf.DUMMYFUNCTION("""COMPUTED_VALUE"""),"Dr. Bea brings you and your daughter in to her office so help hypnotize her into being the best girl for her daddy. ")</f>
        <v>Dr. Bea brings you and your daughter in to her office so help hypnotize her into being the best girl for her daddy. </v>
      </c>
      <c r="E166" s="27" t="str">
        <f>IFERROR(__xludf.DUMMYFUNCTION("""COMPUTED_VALUE"""),"DDlg, accomplice, hypnosis, incest")</f>
        <v>DDlg, accomplice, hypnosis, incest</v>
      </c>
    </row>
    <row r="167">
      <c r="A167" s="52">
        <f>IFERROR(__xludf.DUMMYFUNCTION("""COMPUTED_VALUE"""),580.0)</f>
        <v>580</v>
      </c>
      <c r="B167" s="51">
        <f>IFERROR(__xludf.DUMMYFUNCTION("""COMPUTED_VALUE"""),45390.0)</f>
        <v>45390</v>
      </c>
      <c r="C167" s="27" t="str">
        <f>IFERROR(__xludf.DUMMYFUNCTION("""COMPUTED_VALUE"""),"Improv: Breed Our Daughter")</f>
        <v>Improv: Breed Our Daughter</v>
      </c>
      <c r="D167" s="27" t="str">
        <f>IFERROR(__xludf.DUMMYFUNCTION("""COMPUTED_VALUE"""),"I find proof our daughter has a crush on her father and encourage them to have sex. ")</f>
        <v>I find proof our daughter has a crush on her father and encourage them to have sex. </v>
      </c>
      <c r="E167" s="27" t="str">
        <f>IFERROR(__xludf.DUMMYFUNCTION("""COMPUTED_VALUE"""),"ddlg, breeding, accomplice, incest")</f>
        <v>ddlg, breeding, accomplice, incest</v>
      </c>
    </row>
    <row r="168">
      <c r="A168" s="52">
        <f>IFERROR(__xludf.DUMMYFUNCTION("""COMPUTED_VALUE"""),582.0)</f>
        <v>582</v>
      </c>
      <c r="B168" s="51">
        <f>IFERROR(__xludf.DUMMYFUNCTION("""COMPUTED_VALUE"""),45391.0)</f>
        <v>45391</v>
      </c>
      <c r="C168" s="27" t="str">
        <f>IFERROR(__xludf.DUMMYFUNCTION("""COMPUTED_VALUE"""),"Improv: Daughter Calls Your PSO")</f>
        <v>Improv: Daughter Calls Your PSO</v>
      </c>
      <c r="D168" s="27" t="str">
        <f>IFERROR(__xludf.DUMMYFUNCTION("""COMPUTED_VALUE"""),"Your daughter calls me,  your taboo PSO, and gets a special DDlg silent call. ")</f>
        <v>Your daughter calls me,  your taboo PSO, and gets a special DDlg silent call. </v>
      </c>
      <c r="E168" s="27" t="str">
        <f>IFERROR(__xludf.DUMMYFUNCTION("""COMPUTED_VALUE"""),"one woman/two voices, ddlg, accomplice, cum countdown, breeding, incest")</f>
        <v>one woman/two voices, ddlg, accomplice, cum countdown, breeding, incest</v>
      </c>
    </row>
    <row r="169">
      <c r="A169" s="52">
        <f>IFERROR(__xludf.DUMMYFUNCTION("""COMPUTED_VALUE"""),586.0)</f>
        <v>586</v>
      </c>
      <c r="B169" s="51">
        <f>IFERROR(__xludf.DUMMYFUNCTION("""COMPUTED_VALUE"""),45398.0)</f>
        <v>45398</v>
      </c>
      <c r="C169" s="27" t="str">
        <f>IFERROR(__xludf.DUMMYFUNCTION("""COMPUTED_VALUE"""),"Intoxicated Control &amp; Corruption")</f>
        <v>Intoxicated Control &amp; Corruption</v>
      </c>
      <c r="D169" s="27" t="str">
        <f>IFERROR(__xludf.DUMMYFUNCTION("""COMPUTED_VALUE"""),"A mother has the listener and her daughter controlled to her desires through intoxication")</f>
        <v>A mother has the listener and her daughter controlled to her desires through intoxication</v>
      </c>
      <c r="E169" s="27" t="str">
        <f>IFERROR(__xludf.DUMMYFUNCTION("""COMPUTED_VALUE"""),"MDlg, forced intoxication, breeding, corruption, watersports, accomplice")</f>
        <v>MDlg, forced intoxication, breeding, corruption, watersports, accomplice</v>
      </c>
    </row>
    <row r="170">
      <c r="A170" s="52">
        <f>IFERROR(__xludf.DUMMYFUNCTION("""COMPUTED_VALUE"""),589.0)</f>
        <v>589</v>
      </c>
      <c r="B170" s="51">
        <f>IFERROR(__xludf.DUMMYFUNCTION("""COMPUTED_VALUE"""),45405.0)</f>
        <v>45405</v>
      </c>
      <c r="C170" s="27" t="str">
        <f>IFERROR(__xludf.DUMMYFUNCTION("""COMPUTED_VALUE"""),"Improv: Doctor Corrupts Seduction")</f>
        <v>Improv: Doctor Corrupts Seduction</v>
      </c>
      <c r="D170" s="27" t="str">
        <f>IFERROR(__xludf.DUMMYFUNCTION("""COMPUTED_VALUE"""),"I’m a doctor and you’re my new male nurse. You experience what depraved I get up to behind the closed door. ")</f>
        <v>I’m a doctor and you’re my new male nurse. You experience what depraved I get up to behind the closed door. </v>
      </c>
      <c r="E170" s="27" t="str">
        <f>IFERROR(__xludf.DUMMYFUNCTION("""COMPUTED_VALUE"""),"accomplice, gagging sfx, ball gag sfx, spitting, slapping, all three holes, anal creampie")</f>
        <v>accomplice, gagging sfx, ball gag sfx, spitting, slapping, all three holes, anal creampie</v>
      </c>
    </row>
    <row r="171">
      <c r="A171" s="52">
        <f>IFERROR(__xludf.DUMMYFUNCTION("""COMPUTED_VALUE"""),594.0)</f>
        <v>594</v>
      </c>
      <c r="B171" s="51">
        <f>IFERROR(__xludf.DUMMYFUNCTION("""COMPUTED_VALUE"""),45407.0)</f>
        <v>45407</v>
      </c>
      <c r="C171" s="27" t="str">
        <f>IFERROR(__xludf.DUMMYFUNCTION("""COMPUTED_VALUE"""),"Improv: Weekend of Depravity")</f>
        <v>Improv: Weekend of Depravity</v>
      </c>
      <c r="D171" s="27" t="str">
        <f>IFERROR(__xludf.DUMMYFUNCTION("""COMPUTED_VALUE"""),"You, me, our neighbor cutie, and cocaine. ")</f>
        <v>You, me, our neighbor cutie, and cocaine. </v>
      </c>
      <c r="E171" s="27" t="str">
        <f>IFERROR(__xludf.DUMMYFUNCTION("""COMPUTED_VALUE"""),"intoxication, consensual, all three holes, accomplice")</f>
        <v>intoxication, consensual, all three holes, accomplice</v>
      </c>
    </row>
    <row r="172">
      <c r="A172" s="52">
        <f>IFERROR(__xludf.DUMMYFUNCTION("""COMPUTED_VALUE"""),596.0)</f>
        <v>596</v>
      </c>
      <c r="B172" s="51">
        <f>IFERROR(__xludf.DUMMYFUNCTION("""COMPUTED_VALUE"""),45407.0)</f>
        <v>45407</v>
      </c>
      <c r="C172" s="27" t="str">
        <f>IFERROR(__xludf.DUMMYFUNCTION("""COMPUTED_VALUE"""),"JOI For My King")</f>
        <v>JOI For My King</v>
      </c>
      <c r="D172" s="27" t="str">
        <f>IFERROR(__xludf.DUMMYFUNCTION("""COMPUTED_VALUE"""),"Trigger heavy, noncon, and dark")</f>
        <v>Trigger heavy, noncon, and dark</v>
      </c>
      <c r="E172" s="27" t="str">
        <f>IFERROR(__xludf.DUMMYFUNCTION("""COMPUTED_VALUE"""),"noncon, snuff, accomplice")</f>
        <v>noncon, snuff, accomplice</v>
      </c>
    </row>
    <row r="173">
      <c r="A173" s="52">
        <f>IFERROR(__xludf.DUMMYFUNCTION("""COMPUTED_VALUE"""),597.0)</f>
        <v>597</v>
      </c>
      <c r="B173" s="51">
        <f>IFERROR(__xludf.DUMMYFUNCTION("""COMPUTED_VALUE"""),45413.0)</f>
        <v>45413</v>
      </c>
      <c r="C173" s="27" t="str">
        <f>IFERROR(__xludf.DUMMYFUNCTION("""COMPUTED_VALUE"""),"Improv: Your Sister Accomplice")</f>
        <v>Improv: Your Sister Accomplice</v>
      </c>
      <c r="D173" s="27" t="str">
        <f>IFERROR(__xludf.DUMMYFUNCTION("""COMPUTED_VALUE"""),"The listener and his sister had sex years ago and never talked about it. She wants to have a talk now though and explain how it’s affected her life. ")</f>
        <v>The listener and his sister had sex years ago and never talked about it. She wants to have a talk now though and explain how it’s affected her life. </v>
      </c>
      <c r="E173" s="27" t="str">
        <f>IFERROR(__xludf.DUMMYFUNCTION("""COMPUTED_VALUE"""),"incest, siblings, accomplice")</f>
        <v>incest, siblings, accomplice</v>
      </c>
    </row>
    <row r="174">
      <c r="A174" s="52">
        <f>IFERROR(__xludf.DUMMYFUNCTION("""COMPUTED_VALUE"""),598.0)</f>
        <v>598</v>
      </c>
      <c r="B174" s="51">
        <f>IFERROR(__xludf.DUMMYFUNCTION("""COMPUTED_VALUE"""),45414.0)</f>
        <v>45414</v>
      </c>
      <c r="C174" s="27" t="str">
        <f>IFERROR(__xludf.DUMMYFUNCTION("""COMPUTED_VALUE"""),"Script Fill: Best Boyfriend Ever")</f>
        <v>Script Fill: Best Boyfriend Ever</v>
      </c>
      <c r="D174" s="27" t="str">
        <f>IFERROR(__xludf.DUMMYFUNCTION("""COMPUTED_VALUE"""),"A mother and daughter share the same boyfriend &amp; make plans for the future. ")</f>
        <v>A mother and daughter share the same boyfriend &amp; make plans for the future. </v>
      </c>
      <c r="E174" s="27" t="str">
        <f>IFERROR(__xludf.DUMMYFUNCTION("""COMPUTED_VALUE"""),"misogyny, accomplice, submissive sluts, breeding")</f>
        <v>misogyny, accomplice, submissive sluts, breeding</v>
      </c>
    </row>
    <row r="175">
      <c r="A175" s="52">
        <f>IFERROR(__xludf.DUMMYFUNCTION("""COMPUTED_VALUE"""),599.0)</f>
        <v>599</v>
      </c>
      <c r="B175" s="51">
        <f>IFERROR(__xludf.DUMMYFUNCTION("""COMPUTED_VALUE"""),45416.0)</f>
        <v>45416</v>
      </c>
      <c r="C175" s="27" t="str">
        <f>IFERROR(__xludf.DUMMYFUNCTION("""COMPUTED_VALUE"""),"Improv: Sneaking Sibling Sex")</f>
        <v>Improv: Sneaking Sibling Sex</v>
      </c>
      <c r="D175" s="27" t="str">
        <f>IFERROR(__xludf.DUMMYFUNCTION("""COMPUTED_VALUE"""),"Your little sister takes advantage of a sleepover with her friends to enjoy teasing you about your secret sibling incest. ")</f>
        <v>Your little sister takes advantage of a sleepover with her friends to enjoy teasing you about your secret sibling incest. </v>
      </c>
      <c r="E175" s="27" t="str">
        <f>IFERROR(__xludf.DUMMYFUNCTION("""COMPUTED_VALUE"""),"incest, sibling sex, risky sex, public sex, accomplice")</f>
        <v>incest, sibling sex, risky sex, public sex, accomplice</v>
      </c>
    </row>
    <row r="176">
      <c r="A176" s="52">
        <f>IFERROR(__xludf.DUMMYFUNCTION("""COMPUTED_VALUE"""),602.0)</f>
        <v>602</v>
      </c>
      <c r="B176" s="51">
        <f>IFERROR(__xludf.DUMMYFUNCTION("""COMPUTED_VALUE"""),45420.0)</f>
        <v>45420</v>
      </c>
      <c r="C176" s="27" t="str">
        <f>IFERROR(__xludf.DUMMYFUNCTION("""COMPUTED_VALUE"""),"Silent Call: Mom Turns Into Your Accomplice")</f>
        <v>Silent Call: Mom Turns Into Your Accomplice</v>
      </c>
      <c r="D176" s="27" t="str">
        <f>IFERROR(__xludf.DUMMYFUNCTION("""COMPUTED_VALUE"""),"A mother/son story turns into an accomplice story")</f>
        <v>A mother/son story turns into an accomplice story</v>
      </c>
      <c r="E176" s="27" t="str">
        <f>IFERROR(__xludf.DUMMYFUNCTION("""COMPUTED_VALUE"""),"accomplice, MDlb, incest, breeding")</f>
        <v>accomplice, MDlb, incest, breeding</v>
      </c>
    </row>
    <row r="177">
      <c r="A177" s="52">
        <f>IFERROR(__xludf.DUMMYFUNCTION("""COMPUTED_VALUE"""),606.0)</f>
        <v>606</v>
      </c>
      <c r="B177" s="51">
        <f>IFERROR(__xludf.DUMMYFUNCTION("""COMPUTED_VALUE"""),45425.0)</f>
        <v>45425</v>
      </c>
      <c r="C177" s="27" t="str">
        <f>IFERROR(__xludf.DUMMYFUNCTION("""COMPUTED_VALUE"""),"Weekend of Depravity Pt 2")</f>
        <v>Weekend of Depravity Pt 2</v>
      </c>
      <c r="D177" s="27" t="str">
        <f>IFERROR(__xludf.DUMMYFUNCTION("""COMPUTED_VALUE"""),"You, me, our neighbor cutie, and cocaine. ")</f>
        <v>You, me, our neighbor cutie, and cocaine. </v>
      </c>
      <c r="E177" s="27" t="str">
        <f>IFERROR(__xludf.DUMMYFUNCTION("""COMPUTED_VALUE"""),"intoxication, consensual, accomplice")</f>
        <v>intoxication, consensual, accomplice</v>
      </c>
    </row>
    <row r="178">
      <c r="A178" s="52">
        <f>IFERROR(__xludf.DUMMYFUNCTION("""COMPUTED_VALUE"""),607.0)</f>
        <v>607</v>
      </c>
      <c r="B178" s="51">
        <f>IFERROR(__xludf.DUMMYFUNCTION("""COMPUTED_VALUE"""),45425.0)</f>
        <v>45425</v>
      </c>
      <c r="C178" s="27" t="str">
        <f>IFERROR(__xludf.DUMMYFUNCTION("""COMPUTED_VALUE"""),"Cousin Accomplice")</f>
        <v>Cousin Accomplice</v>
      </c>
      <c r="D178" s="27" t="str">
        <f>IFERROR(__xludf.DUMMYFUNCTION("""COMPUTED_VALUE"""),"Your cute little cousin brings you her BFF and she really gets into encouraging more and more depravity. ")</f>
        <v>Your cute little cousin brings you her BFF and she really gets into encouraging more and more depravity. </v>
      </c>
      <c r="E178" s="27" t="str">
        <f>IFERROR(__xludf.DUMMYFUNCTION("""COMPUTED_VALUE"""),"accomplice, deepthroat, noncon, snuff, necro, cum countdown")</f>
        <v>accomplice, deepthroat, noncon, snuff, necro, cum countdown</v>
      </c>
    </row>
    <row r="179">
      <c r="A179" s="52">
        <f>IFERROR(__xludf.DUMMYFUNCTION("""COMPUTED_VALUE"""),613.0)</f>
        <v>613</v>
      </c>
      <c r="B179" s="51">
        <f>IFERROR(__xludf.DUMMYFUNCTION("""COMPUTED_VALUE"""),45443.0)</f>
        <v>45443</v>
      </c>
      <c r="C179" s="27" t="str">
        <f>IFERROR(__xludf.DUMMYFUNCTION("""COMPUTED_VALUE"""),"Weekend of Depravity Pt 3")</f>
        <v>Weekend of Depravity Pt 3</v>
      </c>
      <c r="D179" s="27" t="str">
        <f>IFERROR(__xludf.DUMMYFUNCTION("""COMPUTED_VALUE"""),"You, me, our neighbor cutie, her cousin, and cocaine")</f>
        <v>You, me, our neighbor cutie, her cousin, and cocaine</v>
      </c>
      <c r="E179" s="27" t="str">
        <f>IFERROR(__xludf.DUMMYFUNCTION("""COMPUTED_VALUE"""),"intoxication, consensual, accomplice")</f>
        <v>intoxication, consensual, accomplice</v>
      </c>
    </row>
    <row r="180">
      <c r="A180" s="52">
        <f>IFERROR(__xludf.DUMMYFUNCTION("""COMPUTED_VALUE"""),614.0)</f>
        <v>614</v>
      </c>
      <c r="B180" s="51">
        <f>IFERROR(__xludf.DUMMYFUNCTION("""COMPUTED_VALUE"""),45445.0)</f>
        <v>45445</v>
      </c>
      <c r="C180" s="27" t="str">
        <f>IFERROR(__xludf.DUMMYFUNCTION("""COMPUTED_VALUE"""),"BFF Female Pervs")</f>
        <v>BFF Female Pervs</v>
      </c>
      <c r="D180" s="27" t="str">
        <f>IFERROR(__xludf.DUMMYFUNCTION("""COMPUTED_VALUE"""),"Me and the listener are married and I just befriended a lady who I think might be just like us; complete pervs! ")</f>
        <v>Me and the listener are married and I just befriended a lady who I think might be just like us; complete pervs! </v>
      </c>
      <c r="E180" s="27" t="str">
        <f>IFERROR(__xludf.DUMMYFUNCTION("""COMPUTED_VALUE"""),"female pervs, corruption, accomplice, pervert encouragement")</f>
        <v>female pervs, corruption, accomplice, pervert encouragement</v>
      </c>
    </row>
    <row r="181">
      <c r="A181" s="52">
        <f>IFERROR(__xludf.DUMMYFUNCTION("""COMPUTED_VALUE"""),616.0)</f>
        <v>616</v>
      </c>
      <c r="B181" s="51">
        <f>IFERROR(__xludf.DUMMYFUNCTION("""COMPUTED_VALUE"""),45447.0)</f>
        <v>45447</v>
      </c>
      <c r="C181" s="27" t="str">
        <f>IFERROR(__xludf.DUMMYFUNCTION("""COMPUTED_VALUE"""),"Silent Call: Grandma Accomplice")</f>
        <v>Silent Call: Grandma Accomplice</v>
      </c>
      <c r="D181" s="27" t="str">
        <f>IFERROR(__xludf.DUMMYFUNCTION("""COMPUTED_VALUE"""),"I offer my ex bf a deal that involves my grand daughters and my drug addicted daughter. ")</f>
        <v>I offer my ex bf a deal that involves my grand daughters and my drug addicted daughter. </v>
      </c>
      <c r="E181" s="27" t="str">
        <f>IFERROR(__xludf.DUMMYFUNCTION("""COMPUTED_VALUE"""),"accomplice, noncon, corruption")</f>
        <v>accomplice, noncon, corruption</v>
      </c>
    </row>
    <row r="182">
      <c r="A182" s="52">
        <f>IFERROR(__xludf.DUMMYFUNCTION("""COMPUTED_VALUE"""),620.0)</f>
        <v>620</v>
      </c>
      <c r="B182" s="51">
        <f>IFERROR(__xludf.DUMMYFUNCTION("""COMPUTED_VALUE"""),45452.0)</f>
        <v>45452</v>
      </c>
      <c r="C182" s="27" t="str">
        <f>IFERROR(__xludf.DUMMYFUNCTION("""COMPUTED_VALUE""")," Victim Turns Accomplice")</f>
        <v> Victim Turns Accomplice</v>
      </c>
      <c r="D182" s="27" t="str">
        <f>IFERROR(__xludf.DUMMYFUNCTION("""COMPUTED_VALUE"""),"I roleplay as a former victim who enjoys encouraging her king. ")</f>
        <v>I roleplay as a former victim who enjoys encouraging her king. </v>
      </c>
      <c r="E182" s="27" t="str">
        <f>IFERROR(__xludf.DUMMYFUNCTION("""COMPUTED_VALUE"""),"accomplice, noncon")</f>
        <v>accomplice, noncon</v>
      </c>
    </row>
    <row r="183">
      <c r="A183" s="52">
        <f>IFERROR(__xludf.DUMMYFUNCTION("""COMPUTED_VALUE"""),622.0)</f>
        <v>622</v>
      </c>
      <c r="B183" s="51">
        <f>IFERROR(__xludf.DUMMYFUNCTION("""COMPUTED_VALUE"""),45454.0)</f>
        <v>45454</v>
      </c>
      <c r="C183" s="27" t="str">
        <f>IFERROR(__xludf.DUMMYFUNCTION("""COMPUTED_VALUE"""),"IG Accomplice")</f>
        <v>IG Accomplice</v>
      </c>
      <c r="D183" s="27" t="str">
        <f>IFERROR(__xludf.DUMMYFUNCTION("""COMPUTED_VALUE"""),"I roleplay as your girlfriend who finds your fav IG girls on your phone and it turns me on how much of perv you are! ")</f>
        <v>I roleplay as your girlfriend who finds your fav IG girls on your phone and it turns me on how much of perv you are! </v>
      </c>
      <c r="E183" s="27" t="str">
        <f>IFERROR(__xludf.DUMMYFUNCTION("""COMPUTED_VALUE"""),"accomplice, pervert encouragement, IG, NN")</f>
        <v>accomplice, pervert encouragement, IG, NN</v>
      </c>
    </row>
    <row r="184">
      <c r="A184" s="52">
        <f>IFERROR(__xludf.DUMMYFUNCTION("""COMPUTED_VALUE"""),623.0)</f>
        <v>623</v>
      </c>
      <c r="B184" s="51">
        <f>IFERROR(__xludf.DUMMYFUNCTION("""COMPUTED_VALUE"""),45455.0)</f>
        <v>45455</v>
      </c>
      <c r="C184" s="27" t="str">
        <f>IFERROR(__xludf.DUMMYFUNCTION("""COMPUTED_VALUE"""),"Perverted Mind Control")</f>
        <v>Perverted Mind Control</v>
      </c>
      <c r="D184" s="27" t="str">
        <f>IFERROR(__xludf.DUMMYFUNCTION("""COMPUTED_VALUE"""),"Patient 64 receives a file from me to help condition his mind to look at females in a different light. ")</f>
        <v>Patient 64 receives a file from me to help condition his mind to look at females in a different light. </v>
      </c>
      <c r="E184" s="27" t="str">
        <f>IFERROR(__xludf.DUMMYFUNCTION("""COMPUTED_VALUE"""),"hypnotic, brainwash, pervert encouragement, misogyny, accomplice")</f>
        <v>hypnotic, brainwash, pervert encouragement, misogyny, accomplice</v>
      </c>
    </row>
    <row r="185">
      <c r="A185" s="52">
        <f>IFERROR(__xludf.DUMMYFUNCTION("""COMPUTED_VALUE"""),624.0)</f>
        <v>624</v>
      </c>
      <c r="B185" s="51">
        <f>IFERROR(__xludf.DUMMYFUNCTION("""COMPUTED_VALUE"""),45457.0)</f>
        <v>45457</v>
      </c>
      <c r="C185" s="27" t="str">
        <f>IFERROR(__xludf.DUMMYFUNCTION("""COMPUTED_VALUE"""),"Collab: Teach Me Mommy")</f>
        <v>Collab: Teach Me Mommy</v>
      </c>
      <c r="D185" s="27" t="str">
        <f>IFERROR(__xludf.DUMMYFUNCTION("""COMPUTED_VALUE""")," A mother gives her daughter lessons on how to be the best slut for Daddy")</f>
        <v> A mother gives her daughter lessons on how to be the best slut for Daddy</v>
      </c>
      <c r="E185" s="27" t="str">
        <f>IFERROR(__xludf.DUMMYFUNCTION("""COMPUTED_VALUE"""),"MDlg, DDlg, Accomplice, incest, lesbian, blowjob sfx")</f>
        <v>MDlg, DDlg, Accomplice, incest, lesbian, blowjob sfx</v>
      </c>
    </row>
    <row r="186">
      <c r="A186" s="52">
        <f>IFERROR(__xludf.DUMMYFUNCTION("""COMPUTED_VALUE"""),625.0)</f>
        <v>625</v>
      </c>
      <c r="B186" s="51">
        <f>IFERROR(__xludf.DUMMYFUNCTION("""COMPUTED_VALUE"""),45457.0)</f>
        <v>45457</v>
      </c>
      <c r="C186" s="27" t="str">
        <f>IFERROR(__xludf.DUMMYFUNCTION("""COMPUTED_VALUE"""),"Collab: Accomplice VS Humiliation")</f>
        <v>Collab: Accomplice VS Humiliation</v>
      </c>
      <c r="D186" s="27" t="str">
        <f>IFERROR(__xludf.DUMMYFUNCTION("""COMPUTED_VALUE"""),"Experience two voices, one accomplice voice and one humiliating one, while you jerk your pervert cock. ")</f>
        <v>Experience two voices, one accomplice voice and one humiliating one, while you jerk your pervert cock. </v>
      </c>
      <c r="E186" s="27" t="str">
        <f>IFERROR(__xludf.DUMMYFUNCTION("""COMPUTED_VALUE"""),"accomplice, humiliation, pervert encouragement, noncon, watersports")</f>
        <v>accomplice, humiliation, pervert encouragement, noncon, watersports</v>
      </c>
    </row>
    <row r="187">
      <c r="A187" s="52">
        <f>IFERROR(__xludf.DUMMYFUNCTION("""COMPUTED_VALUE"""),626.0)</f>
        <v>626</v>
      </c>
      <c r="B187" s="51">
        <f>IFERROR(__xludf.DUMMYFUNCTION("""COMPUTED_VALUE"""),45461.0)</f>
        <v>45461</v>
      </c>
      <c r="C187" s="27" t="str">
        <f>IFERROR(__xludf.DUMMYFUNCTION("""COMPUTED_VALUE"""),"Naughty Mommy Webcam Fun")</f>
        <v>Naughty Mommy Webcam Fun</v>
      </c>
      <c r="D187" s="27" t="str">
        <f>IFERROR(__xludf.DUMMYFUNCTION("""COMPUTED_VALUE"""),"A mother has naughty fun on webcam with her son and daughter. ")</f>
        <v>A mother has naughty fun on webcam with her son and daughter. </v>
      </c>
      <c r="E187" s="27" t="str">
        <f>IFERROR(__xludf.DUMMYFUNCTION("""COMPUTED_VALUE"""),"MDlb, MDlg, accomplice, incest")</f>
        <v>MDlb, MDlg, accomplice, incest</v>
      </c>
    </row>
    <row r="188">
      <c r="A188" s="52">
        <f>IFERROR(__xludf.DUMMYFUNCTION("""COMPUTED_VALUE"""),630.0)</f>
        <v>630</v>
      </c>
      <c r="B188" s="51">
        <f>IFERROR(__xludf.DUMMYFUNCTION("""COMPUTED_VALUE"""),45463.0)</f>
        <v>45463</v>
      </c>
      <c r="C188" s="27" t="str">
        <f>IFERROR(__xludf.DUMMYFUNCTION("""COMPUTED_VALUE"""),"Training Big Sis")</f>
        <v>Training Big Sis</v>
      </c>
      <c r="D188" s="27" t="str">
        <f>IFERROR(__xludf.DUMMYFUNCTION("""COMPUTED_VALUE"""),"I help a big sister train her little sister to learn her place. ")</f>
        <v>I help a big sister train her little sister to learn her place. </v>
      </c>
      <c r="E188" s="27" t="str">
        <f>IFERROR(__xludf.DUMMYFUNCTION("""COMPUTED_VALUE"""),"accomplice, siblings, misogyny, degradation, lesbian sister, incest, DDlg")</f>
        <v>accomplice, siblings, misogyny, degradation, lesbian sister, incest, DDlg</v>
      </c>
    </row>
    <row r="189">
      <c r="A189" s="52">
        <f>IFERROR(__xludf.DUMMYFUNCTION("""COMPUTED_VALUE"""),634.0)</f>
        <v>634</v>
      </c>
      <c r="B189" s="51">
        <f>IFERROR(__xludf.DUMMYFUNCTION("""COMPUTED_VALUE"""),45468.0)</f>
        <v>45468</v>
      </c>
      <c r="C189" s="27" t="str">
        <f>IFERROR(__xludf.DUMMYFUNCTION("""COMPUTED_VALUE"""),"Weekend of Depravity Pt 4")</f>
        <v>Weekend of Depravity Pt 4</v>
      </c>
      <c r="D189" s="27" t="str">
        <f>IFERROR(__xludf.DUMMYFUNCTION("""COMPUTED_VALUE"""),"The coke and two friends join us for more coke fueled depravity. ")</f>
        <v>The coke and two friends join us for more coke fueled depravity. </v>
      </c>
      <c r="E189" s="27" t="str">
        <f>IFERROR(__xludf.DUMMYFUNCTION("""COMPUTED_VALUE"""),"accomplice, consensual, double team, facial, intoxication")</f>
        <v>accomplice, consensual, double team, facial, intoxication</v>
      </c>
    </row>
    <row r="190">
      <c r="A190" s="52">
        <f>IFERROR(__xludf.DUMMYFUNCTION("""COMPUTED_VALUE"""),639.0)</f>
        <v>639</v>
      </c>
      <c r="B190" s="51">
        <f>IFERROR(__xludf.DUMMYFUNCTION("""COMPUTED_VALUE"""),45476.0)</f>
        <v>45476</v>
      </c>
      <c r="C190" s="27" t="str">
        <f>IFERROR(__xludf.DUMMYFUNCTION("""COMPUTED_VALUE"""),"Kink FM Confession")</f>
        <v>Kink FM Confession</v>
      </c>
      <c r="D190" s="27" t="str">
        <f>IFERROR(__xludf.DUMMYFUNCTION("""COMPUTED_VALUE"""),"It's Kink FM radio and you are tuning into Kinky Confessions. Tonight's confession is quite juicy and taboo.")</f>
        <v>It's Kink FM radio and you are tuning into Kinky Confessions. Tonight's confession is quite juicy and taboo.</v>
      </c>
      <c r="E190" s="27" t="str">
        <f>IFERROR(__xludf.DUMMYFUNCTION("""COMPUTED_VALUE"""),"incest, accomplice, MDlg, watersports, breeding")</f>
        <v>incest, accomplice, MDlg, watersports, breeding</v>
      </c>
    </row>
    <row r="191">
      <c r="A191" s="52">
        <f>IFERROR(__xludf.DUMMYFUNCTION("""COMPUTED_VALUE"""),641.0)</f>
        <v>641</v>
      </c>
      <c r="B191" s="51">
        <f>IFERROR(__xludf.DUMMYFUNCTION("""COMPUTED_VALUE"""),45488.0)</f>
        <v>45488</v>
      </c>
      <c r="C191" s="27" t="str">
        <f>IFERROR(__xludf.DUMMYFUNCTION("""COMPUTED_VALUE"""),"Cuckquean Reverse Accomplice Mommy")</f>
        <v>Cuckquean Reverse Accomplice Mommy</v>
      </c>
      <c r="D191" s="27" t="str">
        <f>IFERROR(__xludf.DUMMYFUNCTION("""COMPUTED_VALUE"""),"A mother finds out her daughter is in love with daddy and wants to replace her as his daughter wife. ")</f>
        <v>A mother finds out her daughter is in love with daddy and wants to replace her as his daughter wife. </v>
      </c>
      <c r="E191" s="27" t="str">
        <f>IFERROR(__xludf.DUMMYFUNCTION("""COMPUTED_VALUE"""),"cuckquean mommy, anal only, accomplice, light scat")</f>
        <v>cuckquean mommy, anal only, accomplice, light scat</v>
      </c>
    </row>
    <row r="192">
      <c r="A192" s="52">
        <f>IFERROR(__xludf.DUMMYFUNCTION("""COMPUTED_VALUE"""),642.0)</f>
        <v>642</v>
      </c>
      <c r="B192" s="51">
        <f>IFERROR(__xludf.DUMMYFUNCTION("""COMPUTED_VALUE"""),45488.0)</f>
        <v>45488</v>
      </c>
      <c r="C192" s="27" t="str">
        <f>IFERROR(__xludf.DUMMYFUNCTION("""COMPUTED_VALUE"""),"Juneteenth Celebration")</f>
        <v>Juneteenth Celebration</v>
      </c>
      <c r="D192" s="27" t="str">
        <f>IFERROR(__xludf.DUMMYFUNCTION("""COMPUTED_VALUE"""),"A quickie raceplay improv file")</f>
        <v>A quickie raceplay improv file</v>
      </c>
      <c r="E192" s="27" t="str">
        <f>IFERROR(__xludf.DUMMYFUNCTION("""COMPUTED_VALUE"""),"raceplay, gender &amp; race traitor, mommy accomplice, noncon")</f>
        <v>raceplay, gender &amp; race traitor, mommy accomplice, noncon</v>
      </c>
    </row>
    <row r="193">
      <c r="A193" s="52">
        <f>IFERROR(__xludf.DUMMYFUNCTION("""COMPUTED_VALUE"""),643.0)</f>
        <v>643</v>
      </c>
      <c r="B193" s="51">
        <f>IFERROR(__xludf.DUMMYFUNCTION("""COMPUTED_VALUE"""),45488.0)</f>
        <v>45488</v>
      </c>
      <c r="C193" s="27" t="str">
        <f>IFERROR(__xludf.DUMMYFUNCTION("""COMPUTED_VALUE"""),"Pervy GFE: Sick Accomplice JOI")</f>
        <v>Pervy GFE: Sick Accomplice JOI</v>
      </c>
      <c r="D193" s="27" t="str">
        <f>IFERROR(__xludf.DUMMYFUNCTION("""COMPUTED_VALUE"""),"Your girlfriend leaves a special audio for you to pull out your darkest side. ")</f>
        <v>Your girlfriend leaves a special audio for you to pull out your darkest side. </v>
      </c>
      <c r="E193" s="27" t="str">
        <f>IFERROR(__xludf.DUMMYFUNCTION("""COMPUTED_VALUE"""),"accomplice, snuff, necro, noncon")</f>
        <v>accomplice, snuff, necro, noncon</v>
      </c>
    </row>
    <row r="194">
      <c r="A194" s="52">
        <f>IFERROR(__xludf.DUMMYFUNCTION("""COMPUTED_VALUE"""),646.0)</f>
        <v>646</v>
      </c>
      <c r="B194" s="51">
        <f>IFERROR(__xludf.DUMMYFUNCTION("""COMPUTED_VALUE"""),45497.0)</f>
        <v>45497</v>
      </c>
      <c r="C194" s="27" t="str">
        <f>IFERROR(__xludf.DUMMYFUNCTION("""COMPUTED_VALUE"""),"Coke Girlfriend Corruption")</f>
        <v>Coke Girlfriend Corruption</v>
      </c>
      <c r="D194" s="27" t="str">
        <f>IFERROR(__xludf.DUMMYFUNCTION("""COMPUTED_VALUE"""),"Your gf reveals she likes nose candy every now and then and talks you into trying it for the first time while also pulling out your depraved side. ")</f>
        <v>Your gf reveals she likes nose candy every now and then and talks you into trying it for the first time while also pulling out your depraved side. </v>
      </c>
      <c r="E194" s="27" t="str">
        <f>IFERROR(__xludf.DUMMYFUNCTION("""COMPUTED_VALUE"""),"pervy gfe, accomplice, intox")</f>
        <v>pervy gfe, accomplice, intox</v>
      </c>
    </row>
    <row r="195">
      <c r="A195" s="52">
        <f>IFERROR(__xludf.DUMMYFUNCTION("""COMPUTED_VALUE"""),651.0)</f>
        <v>651</v>
      </c>
      <c r="B195" s="51">
        <f>IFERROR(__xludf.DUMMYFUNCTION("""COMPUTED_VALUE"""),45505.0)</f>
        <v>45505</v>
      </c>
      <c r="C195" s="27" t="str">
        <f>IFERROR(__xludf.DUMMYFUNCTION("""COMPUTED_VALUE"""),"Deadly Mom Experience")</f>
        <v>Deadly Mom Experience</v>
      </c>
      <c r="D195" s="27" t="str">
        <f>IFERROR(__xludf.DUMMYFUNCTION("""COMPUTED_VALUE"""),"A mother experiences a traumatic event, yet she finds herself drawn into the depravity. ")</f>
        <v>A mother experiences a traumatic event, yet she finds herself drawn into the depravity. </v>
      </c>
      <c r="E195" s="27" t="str">
        <f>IFERROR(__xludf.DUMMYFUNCTION("""COMPUTED_VALUE"""),"snuff, noncon, accomplice")</f>
        <v>snuff, noncon, accomplice</v>
      </c>
    </row>
    <row r="196">
      <c r="A196" s="52">
        <f>IFERROR(__xludf.DUMMYFUNCTION("""COMPUTED_VALUE"""),652.0)</f>
        <v>652</v>
      </c>
      <c r="B196" s="51">
        <f>IFERROR(__xludf.DUMMYFUNCTION("""COMPUTED_VALUE"""),45510.0)</f>
        <v>45510</v>
      </c>
      <c r="C196" s="27" t="str">
        <f>IFERROR(__xludf.DUMMYFUNCTION("""COMPUTED_VALUE"""),"Trippy &amp; Perverted Club Experience")</f>
        <v>Trippy &amp; Perverted Club Experience</v>
      </c>
      <c r="D196" s="27" t="str">
        <f>IFERROR(__xludf.DUMMYFUNCTION("""COMPUTED_VALUE"""),"A father visits a hypno club for the first time and I grab hold of him and send him into a drug induced dive into depravity. ")</f>
        <v>A father visits a hypno club for the first time and I grab hold of him and send him into a drug induced dive into depravity. </v>
      </c>
      <c r="E196" s="27" t="str">
        <f>IFERROR(__xludf.DUMMYFUNCTION("""COMPUTED_VALUE"""),"hypno, DDlg, accomplice, incest, femdom")</f>
        <v>hypno, DDlg, accomplice, incest, femdom</v>
      </c>
    </row>
    <row r="197">
      <c r="A197" s="52">
        <f>IFERROR(__xludf.DUMMYFUNCTION("""COMPUTED_VALUE"""),659.0)</f>
        <v>659</v>
      </c>
      <c r="B197" s="51">
        <f>IFERROR(__xludf.DUMMYFUNCTION("""COMPUTED_VALUE"""),45526.0)</f>
        <v>45526</v>
      </c>
      <c r="C197" s="27" t="str">
        <f>IFERROR(__xludf.DUMMYFUNCTION("""COMPUTED_VALUE"""),"Incest Baby Shower")</f>
        <v>Incest Baby Shower</v>
      </c>
      <c r="D197" s="27" t="str">
        <f>IFERROR(__xludf.DUMMYFUNCTION("""COMPUTED_VALUE"""),"Two baby showers are thrown within a close, uniquely sexual family. ")</f>
        <v>Two baby showers are thrown within a close, uniquely sexual family. </v>
      </c>
      <c r="E197" s="27" t="str">
        <f>IFERROR(__xludf.DUMMYFUNCTION("""COMPUTED_VALUE"""),"incest, DDlg, accomplice, breeding, MDlb, fisting, strap on")</f>
        <v>incest, DDlg, accomplice, breeding, MDlb, fisting, strap on</v>
      </c>
    </row>
    <row r="198">
      <c r="A198" s="52">
        <f>IFERROR(__xludf.DUMMYFUNCTION("""COMPUTED_VALUE"""),665.0)</f>
        <v>665</v>
      </c>
      <c r="B198" s="51">
        <f>IFERROR(__xludf.DUMMYFUNCTION("""COMPUTED_VALUE"""),45534.0)</f>
        <v>45534</v>
      </c>
      <c r="C198" s="27" t="str">
        <f>IFERROR(__xludf.DUMMYFUNCTION("""COMPUTED_VALUE"""),"The Annual Misogyny Awards")</f>
        <v>The Annual Misogyny Awards</v>
      </c>
      <c r="D198" s="27" t="str">
        <f>IFERROR(__xludf.DUMMYFUNCTION("""COMPUTED_VALUE"""),"I am the host of the Annual Misogyny Awards where the top noncon videos are submitted for a chance to win 1st place. ")</f>
        <v>I am the host of the Annual Misogyny Awards where the top noncon videos are submitted for a chance to win 1st place. </v>
      </c>
      <c r="E198" s="27" t="str">
        <f>IFERROR(__xludf.DUMMYFUNCTION("""COMPUTED_VALUE"""),"noncon, misogyny, sfx, accomplice, breeding, watersports, extreme")</f>
        <v>noncon, misogyny, sfx, accomplice, breeding, watersports, extreme</v>
      </c>
    </row>
    <row r="199">
      <c r="A199" s="52">
        <f>IFERROR(__xludf.DUMMYFUNCTION("""COMPUTED_VALUE"""),668.0)</f>
        <v>668</v>
      </c>
      <c r="B199" s="51">
        <f>IFERROR(__xludf.DUMMYFUNCTION("""COMPUTED_VALUE"""),45542.0)</f>
        <v>45542</v>
      </c>
      <c r="C199" s="27" t="str">
        <f>IFERROR(__xludf.DUMMYFUNCTION("""COMPUTED_VALUE"""),"Deadly Threesome")</f>
        <v>Deadly Threesome</v>
      </c>
      <c r="D199" s="27" t="str">
        <f>IFERROR(__xludf.DUMMYFUNCTION("""COMPUTED_VALUE"""),"Let's go pick up a hot girl from the bar and give her the last good time of her life. ")</f>
        <v>Let's go pick up a hot girl from the bar and give her the last good time of her life. </v>
      </c>
      <c r="E199" s="27" t="str">
        <f>IFERROR(__xludf.DUMMYFUNCTION("""COMPUTED_VALUE"""),"snuff, accomplice, forced intox, sfx, choking, noncon, throat fucking, creampie")</f>
        <v>snuff, accomplice, forced intox, sfx, choking, noncon, throat fucking, creampie</v>
      </c>
    </row>
    <row r="200">
      <c r="A200" s="52">
        <f>IFERROR(__xludf.DUMMYFUNCTION("""COMPUTED_VALUE"""),679.0)</f>
        <v>679</v>
      </c>
      <c r="B200" s="51">
        <f>IFERROR(__xludf.DUMMYFUNCTION("""COMPUTED_VALUE"""),45562.0)</f>
        <v>45562</v>
      </c>
      <c r="C200" s="27" t="str">
        <f>IFERROR(__xludf.DUMMYFUNCTION("""COMPUTED_VALUE"""),"Sleepover Jerk")</f>
        <v>Sleepover Jerk</v>
      </c>
      <c r="D200" s="27" t="str">
        <f>IFERROR(__xludf.DUMMYFUNCTION("""COMPUTED_VALUE"""),"I discover you jerking off while we're at a sleepover and encourage you to keep going with me whispering in your ear. ")</f>
        <v>I discover you jerking off while we're at a sleepover and encourage you to keep going with me whispering in your ear. </v>
      </c>
      <c r="E200" s="27" t="str">
        <f>IFERROR(__xludf.DUMMYFUNCTION("""COMPUTED_VALUE"""),"pervert encouragement, accomplice, pervy girlfriend experience, whispers, ASMR, noncon, breeding")</f>
        <v>pervert encouragement, accomplice, pervy girlfriend experience, whispers, ASMR, noncon, breeding</v>
      </c>
    </row>
    <row r="201">
      <c r="A201" s="52">
        <f>IFERROR(__xludf.DUMMYFUNCTION("""COMPUTED_VALUE"""),680.0)</f>
        <v>680</v>
      </c>
      <c r="B201" s="51">
        <f>IFERROR(__xludf.DUMMYFUNCTION("""COMPUTED_VALUE"""),45563.0)</f>
        <v>45563</v>
      </c>
      <c r="C201" s="27" t="str">
        <f>IFERROR(__xludf.DUMMYFUNCTION("""COMPUTED_VALUE"""),"Perverted Encouragement JOI")</f>
        <v>Perverted Encouragement JOI</v>
      </c>
      <c r="D201" s="27" t="str">
        <f>IFERROR(__xludf.DUMMYFUNCTION("""COMPUTED_VALUE"""),"I roleplay as your girlfriend on the phone who is sending you naughty pics to jerk off to. ")</f>
        <v>I roleplay as your girlfriend on the phone who is sending you naughty pics to jerk off to. </v>
      </c>
      <c r="E201" s="27" t="str">
        <f>IFERROR(__xludf.DUMMYFUNCTION("""COMPUTED_VALUE"""),"JOI, pervert encouragement, noncon, accomplice, cum countdown")</f>
        <v>JOI, pervert encouragement, noncon, accomplice, cum countdown</v>
      </c>
    </row>
    <row r="202">
      <c r="A202" s="52">
        <f>IFERROR(__xludf.DUMMYFUNCTION("""COMPUTED_VALUE"""),682.0)</f>
        <v>682</v>
      </c>
      <c r="B202" s="51">
        <f>IFERROR(__xludf.DUMMYFUNCTION("""COMPUTED_VALUE"""),45565.0)</f>
        <v>45565</v>
      </c>
      <c r="C202" s="27" t="str">
        <f>IFERROR(__xludf.DUMMYFUNCTION("""COMPUTED_VALUE"""),"Pervy GFE Halloween Edition")</f>
        <v>Pervy GFE Halloween Edition</v>
      </c>
      <c r="D202" s="27" t="str">
        <f>IFERROR(__xludf.DUMMYFUNCTION("""COMPUTED_VALUE"""),"I'm your girlfriend and we're at home on Halloween night, playing with each other. We get interrupted multiple times by trick or treaters and I use this to our advantage. ")</f>
        <v>I'm your girlfriend and we're at home on Halloween night, playing with each other. We get interrupted multiple times by trick or treaters and I use this to our advantage. </v>
      </c>
      <c r="E202" s="27" t="str">
        <f>IFERROR(__xludf.DUMMYFUNCTION("""COMPUTED_VALUE"""),"pervy gfe, accomplice, pervert encouragement, noncon, halloween, trick or treat")</f>
        <v>pervy gfe, accomplice, pervert encouragement, noncon, halloween, trick or treat</v>
      </c>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35.75"/>
    <col customWidth="1" min="4" max="4" width="44.88"/>
    <col customWidth="1" min="5" max="5" width="34.5"/>
  </cols>
  <sheetData>
    <row r="1">
      <c r="A1" s="45"/>
      <c r="B1" s="46" t="s">
        <v>2008</v>
      </c>
      <c r="C1" s="27"/>
      <c r="D1" s="27"/>
      <c r="E1" s="47" t="s">
        <v>32</v>
      </c>
      <c r="F1" s="58"/>
      <c r="G1" s="58"/>
      <c r="H1" s="58"/>
      <c r="I1" s="58"/>
      <c r="J1" s="58"/>
      <c r="K1" s="58"/>
      <c r="L1" s="58"/>
      <c r="M1" s="58"/>
      <c r="N1" s="58"/>
      <c r="O1" s="58"/>
      <c r="P1" s="58"/>
      <c r="Q1" s="58"/>
      <c r="R1" s="58"/>
      <c r="S1" s="58"/>
      <c r="T1" s="58"/>
      <c r="U1" s="58"/>
      <c r="V1" s="58"/>
      <c r="W1" s="58"/>
      <c r="X1" s="58"/>
      <c r="Y1" s="58"/>
      <c r="Z1" s="58"/>
    </row>
    <row r="2">
      <c r="A2" s="45"/>
      <c r="C2" s="27"/>
      <c r="D2" s="27"/>
      <c r="E2" s="27"/>
      <c r="F2" s="58"/>
      <c r="G2" s="58"/>
      <c r="H2" s="58"/>
      <c r="I2" s="58"/>
      <c r="J2" s="58"/>
      <c r="K2" s="58"/>
      <c r="L2" s="58"/>
      <c r="M2" s="58"/>
      <c r="N2" s="58"/>
      <c r="O2" s="58"/>
      <c r="P2" s="58"/>
      <c r="Q2" s="58"/>
      <c r="R2" s="58"/>
      <c r="S2" s="58"/>
      <c r="T2" s="58"/>
      <c r="U2" s="58"/>
      <c r="V2" s="58"/>
      <c r="W2" s="58"/>
      <c r="X2" s="58"/>
      <c r="Y2" s="58"/>
      <c r="Z2" s="58"/>
    </row>
    <row r="3">
      <c r="A3" s="45"/>
      <c r="B3" s="55" t="s">
        <v>2009</v>
      </c>
      <c r="C3" s="27"/>
      <c r="D3" s="27"/>
      <c r="E3" s="27"/>
      <c r="F3" s="58"/>
      <c r="G3" s="58"/>
      <c r="H3" s="58"/>
      <c r="I3" s="58"/>
      <c r="J3" s="58"/>
      <c r="K3" s="58"/>
      <c r="L3" s="58"/>
      <c r="M3" s="58"/>
      <c r="N3" s="58"/>
      <c r="O3" s="58"/>
      <c r="P3" s="58"/>
      <c r="Q3" s="58"/>
      <c r="R3" s="58"/>
      <c r="S3" s="58"/>
      <c r="T3" s="58"/>
      <c r="U3" s="58"/>
      <c r="V3" s="58"/>
      <c r="W3" s="58"/>
      <c r="X3" s="58"/>
      <c r="Y3" s="58"/>
      <c r="Z3" s="58"/>
    </row>
    <row r="4">
      <c r="A4" s="45"/>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0">
        <f>IFERROR(__xludf.DUMMYFUNCTION("filter(Full!A1:E1001, regexmatch(Full!E1:E1001, ""(?i)mdlb""))"),48.0)</f>
        <v>48</v>
      </c>
      <c r="B6" s="51">
        <f>IFERROR(__xludf.DUMMYFUNCTION("""COMPUTED_VALUE"""),44761.0)</f>
        <v>44761</v>
      </c>
      <c r="C6" s="27" t="str">
        <f>IFERROR(__xludf.DUMMYFUNCTION("""COMPUTED_VALUE"""),"Real Silent Call: Mommy Takes You")</f>
        <v>Real Silent Call: Mommy Takes You</v>
      </c>
      <c r="D6" s="59" t="str">
        <f>IFERROR(__xludf.DUMMYFUNCTION("""COMPUTED_VALUE""")," For all you mommy lovers out there. My sweet boy consented and wanted others to enjoy. Mommy forcefully takes you because you're just growing up into such a strong young man")</f>
        <v> For all you mommy lovers out there. My sweet boy consented and wanted others to enjoy. Mommy forcefully takes you because you're just growing up into such a strong young man</v>
      </c>
      <c r="E6" s="27" t="str">
        <f>IFERROR(__xludf.DUMMYFUNCTION("""COMPUTED_VALUE"""),"MDlb, oral, mommy rides you, force, mommy creampie")</f>
        <v>MDlb, oral, mommy rides you, force, mommy creampie</v>
      </c>
    </row>
    <row r="7">
      <c r="A7" s="52">
        <f>IFERROR(__xludf.DUMMYFUNCTION("""COMPUTED_VALUE"""),49.0)</f>
        <v>49</v>
      </c>
      <c r="B7" s="51">
        <f>IFERROR(__xludf.DUMMYFUNCTION("""COMPUTED_VALUE"""),44762.0)</f>
        <v>44762</v>
      </c>
      <c r="C7" s="27" t="str">
        <f>IFERROR(__xludf.DUMMYFUNCTION("""COMPUTED_VALUE"""),"Silent Call: Mommy Lover Clinic")</f>
        <v>Silent Call: Mommy Lover Clinic</v>
      </c>
      <c r="D7" s="59" t="str">
        <f>IFERROR(__xludf.DUMMYFUNCTION("""COMPUTED_VALUE"""),"This was such a fun and creative silent call! You (the listener) are obsessed with your mom and have intense mommy issues. Dr. Beatrix thinks she can help and forces you to be cucked, goon, and worship your mother")</f>
        <v>This was such a fun and creative silent call! You (the listener) are obsessed with your mom and have intense mommy issues. Dr. Beatrix thinks she can help and forces you to be cucked, goon, and worship your mother</v>
      </c>
      <c r="E7" s="27" t="str">
        <f>IFERROR(__xludf.DUMMYFUNCTION("""COMPUTED_VALUE"""),"cuckold, goon for mom, humiliation, big udders and mom bod, MDlb")</f>
        <v>cuckold, goon for mom, humiliation, big udders and mom bod, MDlb</v>
      </c>
    </row>
    <row r="8">
      <c r="A8" s="52">
        <f>IFERROR(__xludf.DUMMYFUNCTION("""COMPUTED_VALUE"""),59.0)</f>
        <v>59</v>
      </c>
      <c r="B8" s="51">
        <f>IFERROR(__xludf.DUMMYFUNCTION("""COMPUTED_VALUE"""),44771.0)</f>
        <v>44771</v>
      </c>
      <c r="C8" s="27" t="str">
        <f>IFERROR(__xludf.DUMMYFUNCTION("""COMPUTED_VALUE"""),"Custom FIll: Mommy's Fuck Toy")</f>
        <v>Custom FIll: Mommy's Fuck Toy</v>
      </c>
      <c r="D8" s="59" t="str">
        <f>IFERROR(__xludf.DUMMYFUNCTION("""COMPUTED_VALUE""")," am your girlfriend and I've been your mommy in the bedroom, but now that your real mom lives with us, it's time to make this fantasy into real incest with my help. ")</f>
        <v> am your girlfriend and I've been your mommy in the bedroom, but now that your real mom lives with us, it's time to make this fantasy into real incest with my help. </v>
      </c>
      <c r="E8" s="27" t="str">
        <f>IFERROR(__xludf.DUMMYFUNCTION("""COMPUTED_VALUE"""),"incest, girlfriend experience, ffm threesome, mommy pussy, good boy, gentle fdom, creampie cleanup/CEI, cunnilingus, viagra because you're a fuck toy, MDlb")</f>
        <v>incest, girlfriend experience, ffm threesome, mommy pussy, good boy, gentle fdom, creampie cleanup/CEI, cunnilingus, viagra because you're a fuck toy, MDlb</v>
      </c>
    </row>
    <row r="9">
      <c r="A9" s="52">
        <f>IFERROR(__xludf.DUMMYFUNCTION("""COMPUTED_VALUE"""),64.0)</f>
        <v>64</v>
      </c>
      <c r="B9" s="51">
        <f>IFERROR(__xludf.DUMMYFUNCTION("""COMPUTED_VALUE"""),44774.0)</f>
        <v>44774</v>
      </c>
      <c r="C9" s="27" t="str">
        <f>IFERROR(__xludf.DUMMYFUNCTION("""COMPUTED_VALUE"""),"Custom Fill: Sissy Slut Boy")</f>
        <v>Custom Fill: Sissy Slut Boy</v>
      </c>
      <c r="D9" s="59" t="str">
        <f>IFERROR(__xludf.DUMMYFUNCTION("""COMPUTED_VALUE"""),"Your mommy wants you to take over your late dad's role as sissy slut for her and your sister. ")</f>
        <v>Your mommy wants you to take over your late dad's role as sissy slut for her and your sister. </v>
      </c>
      <c r="E9" s="27" t="str">
        <f>IFERROR(__xludf.DUMMYFUNCTION("""COMPUTED_VALUE""")," incest, sissy, toilet training, ass gas, ass candy, bbc, bbc superiority, MDlb")</f>
        <v> incest, sissy, toilet training, ass gas, ass candy, bbc, bbc superiority, MDlb</v>
      </c>
    </row>
    <row r="10">
      <c r="A10" s="52">
        <f>IFERROR(__xludf.DUMMYFUNCTION("""COMPUTED_VALUE"""),75.0)</f>
        <v>75</v>
      </c>
      <c r="B10" s="51">
        <f>IFERROR(__xludf.DUMMYFUNCTION("""COMPUTED_VALUE"""),44782.0)</f>
        <v>44782</v>
      </c>
      <c r="C10" s="27" t="str">
        <f>IFERROR(__xludf.DUMMYFUNCTION("""COMPUTED_VALUE"""),"Mommy's BNWO Lesson")</f>
        <v>Mommy's BNWO Lesson</v>
      </c>
      <c r="D10" s="59" t="str">
        <f>IFERROR(__xludf.DUMMYFUNCTION("""COMPUTED_VALUE"""),"Your mom catches you masturbating and decides to give you an important lesson as a QoS. ")</f>
        <v>Your mom catches you masturbating and decides to give you an important lesson as a QoS. </v>
      </c>
      <c r="E10" s="27" t="str">
        <f>IFERROR(__xludf.DUMMYFUNCTION("""COMPUTED_VALUE"""),"BNWO, cuckold, SPH, chastity, mommy finger strokes you, BBC, raceplay, MDlb")</f>
        <v>BNWO, cuckold, SPH, chastity, mommy finger strokes you, BBC, raceplay, MDlb</v>
      </c>
    </row>
    <row r="11">
      <c r="A11" s="52">
        <f>IFERROR(__xludf.DUMMYFUNCTION("""COMPUTED_VALUE"""),80.0)</f>
        <v>80</v>
      </c>
      <c r="B11" s="51">
        <f>IFERROR(__xludf.DUMMYFUNCTION("""COMPUTED_VALUE"""),44788.0)</f>
        <v>44788</v>
      </c>
      <c r="C11" s="27" t="str">
        <f>IFERROR(__xludf.DUMMYFUNCTION("""COMPUTED_VALUE"""),"Silent Call: Mommy Fucks Your Bully")</f>
        <v>Silent Call: Mommy Fucks Your Bully</v>
      </c>
      <c r="D11" s="59" t="str">
        <f>IFERROR(__xludf.DUMMYFUNCTION("""COMPUTED_VALUE"""),"A single mother abandons her son to live with and fuck his bully because she can't stand him.")</f>
        <v>A single mother abandons her son to live with and fuck his bully because she can't stand him.</v>
      </c>
      <c r="E11" s="27" t="str">
        <f>IFERROR(__xludf.DUMMYFUNCTION("""COMPUTED_VALUE"""),"mommy fucks your bully, MDlb, degradation, extreme insults, SPH, self degradation")</f>
        <v>mommy fucks your bully, MDlb, degradation, extreme insults, SPH, self degradation</v>
      </c>
    </row>
    <row r="12">
      <c r="A12" s="52">
        <f>IFERROR(__xludf.DUMMYFUNCTION("""COMPUTED_VALUE"""),91.0)</f>
        <v>91</v>
      </c>
      <c r="B12" s="51">
        <f>IFERROR(__xludf.DUMMYFUNCTION("""COMPUTED_VALUE"""),44796.0)</f>
        <v>44796</v>
      </c>
      <c r="C12" s="27" t="str">
        <f>IFERROR(__xludf.DUMMYFUNCTION("""COMPUTED_VALUE"""),"Silent Call: Bitch Mom Calls Your Bully")</f>
        <v>Silent Call: Bitch Mom Calls Your Bully</v>
      </c>
      <c r="D12" s="59" t="str">
        <f>IFERROR(__xludf.DUMMYFUNCTION("""COMPUTED_VALUE""")," I can't stand you (the listener), my son. You're annoying, weak, and I wish you didn't exist. I find out a boy is bullying you so I call him up and offer myself, in front of you. ")</f>
        <v> I can't stand you (the listener), my son. You're annoying, weak, and I wish you didn't exist. I find out a boy is bullying you so I call him up and offer myself, in front of you. </v>
      </c>
      <c r="E12" s="27" t="str">
        <f>IFERROR(__xludf.DUMMYFUNCTION("""COMPUTED_VALUE"""),"self/female degradation, worthless pig, bitch mom, stop crying, worship, SPH, MDlb")</f>
        <v>self/female degradation, worthless pig, bitch mom, stop crying, worship, SPH, MDlb</v>
      </c>
    </row>
    <row r="13">
      <c r="A13" s="52">
        <f>IFERROR(__xludf.DUMMYFUNCTION("""COMPUTED_VALUE"""),99.0)</f>
        <v>99</v>
      </c>
      <c r="B13" s="51">
        <f>IFERROR(__xludf.DUMMYFUNCTION("""COMPUTED_VALUE"""),44806.0)</f>
        <v>44806</v>
      </c>
      <c r="C13" s="27" t="str">
        <f>IFERROR(__xludf.DUMMYFUNCTION("""COMPUTED_VALUE"""),"Silent Call: Mommy Encourages Bi w/Dad")</f>
        <v>Silent Call: Mommy Encourages Bi w/Dad</v>
      </c>
      <c r="D13" s="59" t="str">
        <f>IFERROR(__xludf.DUMMYFUNCTION("""COMPUTED_VALUE"""),": I wake up and catch you sucking on his daddy's cock while he's asleep. I wake dad up and encourage him to take our son. ")</f>
        <v>: I wake up and catch you sucking on his daddy's cock while he's asleep. I wake dad up and encourage him to take our son. </v>
      </c>
      <c r="E13" s="27" t="str">
        <f>IFERROR(__xludf.DUMMYFUNCTION("""COMPUTED_VALUE""")," encourage bi, throat fucking, male male anal, uncut cock, mommy handjob, encouraging, MDlb")</f>
        <v> encourage bi, throat fucking, male male anal, uncut cock, mommy handjob, encouraging, MDlb</v>
      </c>
    </row>
    <row r="14">
      <c r="A14" s="52">
        <f>IFERROR(__xludf.DUMMYFUNCTION("""COMPUTED_VALUE"""),107.0)</f>
        <v>107</v>
      </c>
      <c r="B14" s="51">
        <f>IFERROR(__xludf.DUMMYFUNCTION("""COMPUTED_VALUE"""),44810.0)</f>
        <v>44810</v>
      </c>
      <c r="C14" s="27" t="str">
        <f>IFERROR(__xludf.DUMMYFUNCTION("""COMPUTED_VALUE"""),"Custom Script Fill: Mama Has a Party ")</f>
        <v>Custom Script Fill: Mama Has a Party </v>
      </c>
      <c r="D14" s="59" t="str">
        <f>IFERROR(__xludf.DUMMYFUNCTION("""COMPUTED_VALUE"""),"Third person narration. A man is used as a party favor by his mom and her friends. ")</f>
        <v>Third person narration. A man is used as a party favor by his mom and her friends. </v>
      </c>
      <c r="E14" s="27" t="str">
        <f>IFERROR(__xludf.DUMMYFUNCTION("""COMPUTED_VALUE"""),"forced intoxication, forced anal/bi, watersports, oral, sex, cum, MDlb")</f>
        <v>forced intoxication, forced anal/bi, watersports, oral, sex, cum, MDlb</v>
      </c>
    </row>
    <row r="15">
      <c r="A15" s="52">
        <f>IFERROR(__xludf.DUMMYFUNCTION("""COMPUTED_VALUE"""),118.0)</f>
        <v>118</v>
      </c>
      <c r="B15" s="51">
        <f>IFERROR(__xludf.DUMMYFUNCTION("""COMPUTED_VALUE"""),44830.0)</f>
        <v>44830</v>
      </c>
      <c r="C15" s="27" t="str">
        <f>IFERROR(__xludf.DUMMYFUNCTION("""COMPUTED_VALUE"""),"Script Fill: Futa Goodnight Blowjob")</f>
        <v>Script Fill: Futa Goodnight Blowjob</v>
      </c>
      <c r="D15" s="59" t="str">
        <f>IFERROR(__xludf.DUMMYFUNCTION("""COMPUTED_VALUE"""),"A futa mommy gets her goodnight blowjob frmo her son but has to punish him when he fails to deepthroat her. ")</f>
        <v>A futa mommy gets her goodnight blowjob frmo her son but has to punish him when he fails to deepthroat her. </v>
      </c>
      <c r="E15" s="27" t="str">
        <f>IFERROR(__xludf.DUMMYFUNCTION("""COMPUTED_VALUE"""),"mommy/son, deepthroat, loving mom punishes and turns aggressive, take mommy's milk, futa, MDlb")</f>
        <v>mommy/son, deepthroat, loving mom punishes and turns aggressive, take mommy's milk, futa, MDlb</v>
      </c>
    </row>
    <row r="16">
      <c r="A16" s="52">
        <f>IFERROR(__xludf.DUMMYFUNCTION("""COMPUTED_VALUE"""),137.0)</f>
        <v>137</v>
      </c>
      <c r="B16" s="51">
        <f>IFERROR(__xludf.DUMMYFUNCTION("""COMPUTED_VALUE"""),44852.0)</f>
        <v>44852</v>
      </c>
      <c r="C16" s="27" t="str">
        <f>IFERROR(__xludf.DUMMYFUNCTION("""COMPUTED_VALUE"""),"Script Fill Collab With @Ellie42DDD - DMs Open : Super Cuddles")</f>
        <v>Script Fill Collab With @Ellie42DDD - DMs Open : Super Cuddles</v>
      </c>
      <c r="D16" s="59" t="str">
        <f>IFERROR(__xludf.DUMMYFUNCTION("""COMPUTED_VALUE"""),"Two female lovers are babysitting a young boy. While they are making out, they notice he is watching and touching himself. They invite him into bed for a threesome. ")</f>
        <v>Two female lovers are babysitting a young boy. While they are making out, they notice he is watching and touching himself. They invite him into bed for a threesome. </v>
      </c>
      <c r="E16" s="27" t="str">
        <f>IFERROR(__xludf.DUMMYFUNCTION("""COMPUTED_VALUE"""),"shota, ffm, kissing sounds, blow job sounds, pussy licking, missionary, cowgirl, bouncing tits, MDlb")</f>
        <v>shota, ffm, kissing sounds, blow job sounds, pussy licking, missionary, cowgirl, bouncing tits, MDlb</v>
      </c>
    </row>
    <row r="17">
      <c r="A17" s="52">
        <f>IFERROR(__xludf.DUMMYFUNCTION("""COMPUTED_VALUE"""),139.0)</f>
        <v>139</v>
      </c>
      <c r="B17" s="51">
        <f>IFERROR(__xludf.DUMMYFUNCTION("""COMPUTED_VALUE"""),44853.0)</f>
        <v>44853</v>
      </c>
      <c r="C17" s="27" t="str">
        <f>IFERROR(__xludf.DUMMYFUNCTION("""COMPUTED_VALUE"""),"Custom: Birthday Bully &amp; Your Mom")</f>
        <v>Custom: Birthday Bully &amp; Your Mom</v>
      </c>
      <c r="D17" s="59" t="str">
        <f>IFERROR(__xludf.DUMMYFUNCTION("""COMPUTED_VALUE"""),"It's your birthday and no one showed up to your birthday party. Your sweet, loving mom turns on you once your school bully shows up and turns her into a fuck pig. ")</f>
        <v>It's your birthday and no one showed up to your birthday party. Your sweet, loving mom turns on you once your school bully shows up and turns her into a fuck pig. </v>
      </c>
      <c r="E17" s="27" t="str">
        <f>IFERROR(__xludf.DUMMYFUNCTION("""COMPUTED_VALUE"""),"smegma worship, loving mom, mean/verbally abusive mom, self degradation, mom degrades son, bully, MDlb, face slap, tit slapping ")</f>
        <v>smegma worship, loving mom, mean/verbally abusive mom, self degradation, mom degrades son, bully, MDlb, face slap, tit slapping </v>
      </c>
    </row>
    <row r="18">
      <c r="A18" s="52">
        <f>IFERROR(__xludf.DUMMYFUNCTION("""COMPUTED_VALUE"""),159.0)</f>
        <v>159</v>
      </c>
      <c r="B18" s="51">
        <f>IFERROR(__xludf.DUMMYFUNCTION("""COMPUTED_VALUE"""),44876.0)</f>
        <v>44876</v>
      </c>
      <c r="C18" s="27" t="str">
        <f>IFERROR(__xludf.DUMMYFUNCTION("""COMPUTED_VALUE"""),"Script Fill: Secret Mommy Fuck")</f>
        <v>Script Fill: Secret Mommy Fuck</v>
      </c>
      <c r="D18" s="59" t="str">
        <f>IFERROR(__xludf.DUMMYFUNCTION("""COMPUTED_VALUE"""),"My son is cuddling on the couch with me and I can't help but notice his erection and take advantage of it. ")</f>
        <v>My son is cuddling on the couch with me and I can't help but notice his erection and take advantage of it. </v>
      </c>
      <c r="E18" s="27" t="str">
        <f>IFERROR(__xludf.DUMMYFUNCTION("""COMPUTED_VALUE"""),"MDlb, insatiable little boy, missionary, nipple sucking, inner dialogue, wet pussy sfx")</f>
        <v>MDlb, insatiable little boy, missionary, nipple sucking, inner dialogue, wet pussy sfx</v>
      </c>
    </row>
    <row r="19">
      <c r="A19" s="52">
        <f>IFERROR(__xludf.DUMMYFUNCTION("""COMPUTED_VALUE"""),180.0)</f>
        <v>180</v>
      </c>
      <c r="B19" s="51">
        <f>IFERROR(__xludf.DUMMYFUNCTION("""COMPUTED_VALUE"""),44900.0)</f>
        <v>44900</v>
      </c>
      <c r="C19" s="27" t="str">
        <f>IFERROR(__xludf.DUMMYFUNCTION("""COMPUTED_VALUE"""),"Shota Camp Surprise")</f>
        <v>Shota Camp Surprise</v>
      </c>
      <c r="D19" s="59" t="str">
        <f>IFERROR(__xludf.DUMMYFUNCTION("""COMPUTED_VALUE"""),"Me and my husband run a camp and I cuck my husband while being a total milf slut for boys.")</f>
        <v>Me and my husband run a camp and I cuck my husband while being a total milf slut for boys.</v>
      </c>
      <c r="E19" s="27" t="str">
        <f>IFERROR(__xludf.DUMMYFUNCTION("""COMPUTED_VALUE"""),"shota, cuckold, forced bi, gangbang, group sex, MDlb")</f>
        <v>shota, cuckold, forced bi, gangbang, group sex, MDlb</v>
      </c>
    </row>
    <row r="20">
      <c r="A20" s="52">
        <f>IFERROR(__xludf.DUMMYFUNCTION("""COMPUTED_VALUE"""),199.0)</f>
        <v>199</v>
      </c>
      <c r="B20" s="51">
        <f>IFERROR(__xludf.DUMMYFUNCTION("""COMPUTED_VALUE"""),44929.0)</f>
        <v>44929</v>
      </c>
      <c r="C20" s="27" t="str">
        <f>IFERROR(__xludf.DUMMYFUNCTION("""COMPUTED_VALUE"""),"Custom: Breastfeeding Mommy Masturbates")</f>
        <v>Custom: Breastfeeding Mommy Masturbates</v>
      </c>
      <c r="D20" s="59" t="str">
        <f>IFERROR(__xludf.DUMMYFUNCTION("""COMPUTED_VALUE"""),"A mom breastfeeds her son like she does daily, and also masturbates during like she always does, but this time, she gets super horny and gets even more naughty.")</f>
        <v>A mom breastfeeds her son like she does daily, and also masturbates during like she always does, but this time, she gets super horny and gets even more naughty.</v>
      </c>
      <c r="E20" s="27" t="str">
        <f>IFERROR(__xludf.DUMMYFUNCTION("""COMPUTED_VALUE"""),"suckling sfx, wet pussy sfx, moaning, breastfeeding, female masturbating, dildo fucking, blow job, blow job sfx, MDlb, exteme ap")</f>
        <v>suckling sfx, wet pussy sfx, moaning, breastfeeding, female masturbating, dildo fucking, blow job, blow job sfx, MDlb, exteme ap</v>
      </c>
    </row>
    <row r="21">
      <c r="A21" s="52">
        <f>IFERROR(__xludf.DUMMYFUNCTION("""COMPUTED_VALUE"""),206.0)</f>
        <v>206</v>
      </c>
      <c r="B21" s="51">
        <f>IFERROR(__xludf.DUMMYFUNCTION("""COMPUTED_VALUE"""),44935.0)</f>
        <v>44935</v>
      </c>
      <c r="C21" s="27" t="str">
        <f>IFERROR(__xludf.DUMMYFUNCTION("""COMPUTED_VALUE"""),"Custom: Your Abuser Confronts You")</f>
        <v>Custom: Your Abuser Confronts You</v>
      </c>
      <c r="D21" s="59" t="str">
        <f>IFERROR(__xludf.DUMMYFUNCTION("""COMPUTED_VALUE"""),"The listener is an adult male that is a femme, cross dressing male that I used to babysit when he was younger and more innocent. I reveal to him the dark history and memories that he has blocked out and doesn't remember.")</f>
        <v>The listener is an adult male that is a femme, cross dressing male that I used to babysit when he was younger and more innocent. I reveal to him the dark history and memories that he has blocked out and doesn't remember.</v>
      </c>
      <c r="E21" s="27" t="str">
        <f>IFERROR(__xludf.DUMMYFUNCTION("""COMPUTED_VALUE"""),"shota, older woman/younger boy, corrupt, panty boy, pillow humping, creapie cleanup, face grinding, strap-on sex, anal, fingering, sissy, crying victim, rape the masculinity away, MDlb")</f>
        <v>shota, older woman/younger boy, corrupt, panty boy, pillow humping, creapie cleanup, face grinding, strap-on sex, anal, fingering, sissy, crying victim, rape the masculinity away, MDlb</v>
      </c>
    </row>
    <row r="22">
      <c r="A22" s="52">
        <f>IFERROR(__xludf.DUMMYFUNCTION("""COMPUTED_VALUE"""),212.0)</f>
        <v>212</v>
      </c>
      <c r="B22" s="51">
        <f>IFERROR(__xludf.DUMMYFUNCTION("""COMPUTED_VALUE"""),44943.0)</f>
        <v>44943</v>
      </c>
      <c r="C22" s="27" t="str">
        <f>IFERROR(__xludf.DUMMYFUNCTION("""COMPUTED_VALUE"""),"Script Fill: Special Mom By The Pool")</f>
        <v>Script Fill: Special Mom By The Pool</v>
      </c>
      <c r="D22" s="59" t="str">
        <f>IFERROR(__xludf.DUMMYFUNCTION("""COMPUTED_VALUE"""),"Mom shows you how special she is one day while you're out at the pool. ")</f>
        <v>Mom shows you how special she is one day while you're out at the pool. </v>
      </c>
      <c r="E22" s="27" t="str">
        <f>IFERROR(__xludf.DUMMYFUNCTION("""COMPUTED_VALUE"""),"MDlb, futa, oral, oral sfx, anal, blow job, cum swallowing, anal creampie")</f>
        <v>MDlb, futa, oral, oral sfx, anal, blow job, cum swallowing, anal creampie</v>
      </c>
    </row>
    <row r="23">
      <c r="A23" s="52">
        <f>IFERROR(__xludf.DUMMYFUNCTION("""COMPUTED_VALUE"""),219.0)</f>
        <v>219</v>
      </c>
      <c r="B23" s="51">
        <f>IFERROR(__xludf.DUMMYFUNCTION("""COMPUTED_VALUE"""),44949.0)</f>
        <v>44949</v>
      </c>
      <c r="C23" s="27" t="str">
        <f>IFERROR(__xludf.DUMMYFUNCTION("""COMPUTED_VALUE"""),"Custom: Mom Fucks Bully Daniel")</f>
        <v>Custom: Mom Fucks Bully Daniel</v>
      </c>
      <c r="D23" s="59" t="str">
        <f>IFERROR(__xludf.DUMMYFUNCTION("""COMPUTED_VALUE"""),"My son's bully comes over and I worship and fuck him to teach my son a lesson.")</f>
        <v>My son's bully comes over and I worship and fuck him to teach my son a lesson.</v>
      </c>
      <c r="E23" s="27" t="str">
        <f>IFERROR(__xludf.DUMMYFUNCTION("""COMPUTED_VALUE"""),"overdeveloped, cuckold, degradation, monster cock worship, handjob, oral, blowjob sfx, cowgirl, breeding, creampie, MDlb")</f>
        <v>overdeveloped, cuckold, degradation, monster cock worship, handjob, oral, blowjob sfx, cowgirl, breeding, creampie, MDlb</v>
      </c>
    </row>
    <row r="24">
      <c r="A24" s="52">
        <f>IFERROR(__xludf.DUMMYFUNCTION("""COMPUTED_VALUE"""),221.0)</f>
        <v>221</v>
      </c>
      <c r="B24" s="51">
        <f>IFERROR(__xludf.DUMMYFUNCTION("""COMPUTED_VALUE"""),44950.0)</f>
        <v>44950</v>
      </c>
      <c r="C24" s="27" t="str">
        <f>IFERROR(__xludf.DUMMYFUNCTION("""COMPUTED_VALUE"""),"Silent Call: Camp Counselor Gangbang")</f>
        <v>Silent Call: Camp Counselor Gangbang</v>
      </c>
      <c r="D24" s="59" t="str">
        <f>IFERROR(__xludf.DUMMYFUNCTION("""COMPUTED_VALUE"""),"A woman recounts a time when a gang of her little campers tied her down and used her. ")</f>
        <v>A woman recounts a time when a gang of her little campers tied her down and used her. </v>
      </c>
      <c r="E24" s="27" t="str">
        <f>IFERROR(__xludf.DUMMYFUNCTION("""COMPUTED_VALUE"""),"noncon, gangbang, big tits, pubic hair, creampie, blow job, body betrayal, anal, ass to mouth, MDlb")</f>
        <v>noncon, gangbang, big tits, pubic hair, creampie, blow job, body betrayal, anal, ass to mouth, MDlb</v>
      </c>
    </row>
    <row r="25">
      <c r="A25" s="52">
        <f>IFERROR(__xludf.DUMMYFUNCTION("""COMPUTED_VALUE"""),246.0)</f>
        <v>246</v>
      </c>
      <c r="B25" s="51">
        <f>IFERROR(__xludf.DUMMYFUNCTION("""COMPUTED_VALUE"""),44981.0)</f>
        <v>44981</v>
      </c>
      <c r="C25" s="27" t="str">
        <f>IFERROR(__xludf.DUMMYFUNCTION("""COMPUTED_VALUE"""),"Custom: Mommy's Son Turns Into Her Daughter")</f>
        <v>Custom: Mommy's Son Turns Into Her Daughter</v>
      </c>
      <c r="D25" s="59" t="str">
        <f>IFERROR(__xludf.DUMMYFUNCTION("""COMPUTED_VALUE"""),"I am so desperate for a daughter that I manipulate and force my son to become a girl and have my boyfriend help train my new girl. ")</f>
        <v>I am so desperate for a daughter that I manipulate and force my son to become a girl and have my boyfriend help train my new girl. </v>
      </c>
      <c r="E25" s="27" t="str">
        <f>IFERROR(__xludf.DUMMYFUNCTION("""COMPUTED_VALUE"""),"implied age, MDlg, MDlb, forced bi, feminization, oral, blowjob sfx, anal, cum on tits, kissing sfx, spanking, training, rimming, doggy style, creampie cleanup")</f>
        <v>implied age, MDlg, MDlb, forced bi, feminization, oral, blowjob sfx, anal, cum on tits, kissing sfx, spanking, training, rimming, doggy style, creampie cleanup</v>
      </c>
    </row>
    <row r="26">
      <c r="A26" s="52">
        <f>IFERROR(__xludf.DUMMYFUNCTION("""COMPUTED_VALUE"""),265.0)</f>
        <v>265</v>
      </c>
      <c r="B26" s="51">
        <f>IFERROR(__xludf.DUMMYFUNCTION("""COMPUTED_VALUE"""),45005.0)</f>
        <v>45005</v>
      </c>
      <c r="C26" s="27" t="str">
        <f>IFERROR(__xludf.DUMMYFUNCTION("""COMPUTED_VALUE"""),"Script FIll: Sex With Mommy")</f>
        <v>Script FIll: Sex With Mommy</v>
      </c>
      <c r="D26" s="59" t="str">
        <f>IFERROR(__xludf.DUMMYFUNCTION("""COMPUTED_VALUE"""),"Your mom discovers your erection after giving a bath and decides to show you how to pleasure it.")</f>
        <v>Your mom discovers your erection after giving a bath and decides to show you how to pleasure it.</v>
      </c>
      <c r="E26" s="27" t="str">
        <f>IFERROR(__xludf.DUMMYFUNCTION("""COMPUTED_VALUE"""),"MDlb, oral, sucking sfx, wet sex sfx, missionary &amp; doggy style")</f>
        <v>MDlb, oral, sucking sfx, wet sex sfx, missionary &amp; doggy style</v>
      </c>
    </row>
    <row r="27">
      <c r="A27" s="52">
        <f>IFERROR(__xludf.DUMMYFUNCTION("""COMPUTED_VALUE"""),269.0)</f>
        <v>269</v>
      </c>
      <c r="B27" s="51">
        <f>IFERROR(__xludf.DUMMYFUNCTION("""COMPUTED_VALUE"""),45009.0)</f>
        <v>45009</v>
      </c>
      <c r="C27" s="27" t="str">
        <f>IFERROR(__xludf.DUMMYFUNCTION("""COMPUTED_VALUE"""),"Custom: Wank For Mommy")</f>
        <v>Custom: Wank For Mommy</v>
      </c>
      <c r="D27" s="59" t="str">
        <f>IFERROR(__xludf.DUMMYFUNCTION("""COMPUTED_VALUE"""),"Wanking encouragement audio where I encourage a mommy’s boy that it’s okay to fantasize and jerk off to his mom. ")</f>
        <v>Wanking encouragement audio where I encourage a mommy’s boy that it’s okay to fantasize and jerk off to his mom. </v>
      </c>
      <c r="E27" s="27" t="str">
        <f>IFERROR(__xludf.DUMMYFUNCTION("""COMPUTED_VALUE"""),"MDlb, masturbation encouragement, CEI, heavy mom tits, hairy pussy, rimming, cunninlingus, incest")</f>
        <v>MDlb, masturbation encouragement, CEI, heavy mom tits, hairy pussy, rimming, cunninlingus, incest</v>
      </c>
    </row>
    <row r="28">
      <c r="A28" s="52">
        <f>IFERROR(__xludf.DUMMYFUNCTION("""COMPUTED_VALUE"""),275.0)</f>
        <v>275</v>
      </c>
      <c r="B28" s="51">
        <f>IFERROR(__xludf.DUMMYFUNCTION("""COMPUTED_VALUE"""),45015.0)</f>
        <v>45015</v>
      </c>
      <c r="C28" s="27" t="str">
        <f>IFERROR(__xludf.DUMMYFUNCTION("""COMPUTED_VALUE"""),"Custom: Babsitter Becomes Your Futa Mommy")</f>
        <v>Custom: Babsitter Becomes Your Futa Mommy</v>
      </c>
      <c r="D28" s="59" t="str">
        <f>IFERROR(__xludf.DUMMYFUNCTION("""COMPUTED_VALUE"""),"You get a babysitter that is very sexually aggressive and demands you call her Mommy. ")</f>
        <v>You get a babysitter that is very sexually aggressive and demands you call her Mommy. </v>
      </c>
      <c r="E28" s="27" t="str">
        <f>IFERROR(__xludf.DUMMYFUNCTION("""COMPUTED_VALUE"""),"futa, MDlb, handjob, oral sfx, spitting, face slapping, penis slapping, blow jobs, noncon, anal, cum on tits")</f>
        <v>futa, MDlb, handjob, oral sfx, spitting, face slapping, penis slapping, blow jobs, noncon, anal, cum on tits</v>
      </c>
    </row>
    <row r="29">
      <c r="A29" s="52">
        <f>IFERROR(__xludf.DUMMYFUNCTION("""COMPUTED_VALUE"""),276.0)</f>
        <v>276</v>
      </c>
      <c r="B29" s="51">
        <f>IFERROR(__xludf.DUMMYFUNCTION("""COMPUTED_VALUE"""),45015.0)</f>
        <v>45015</v>
      </c>
      <c r="C29" s="27" t="str">
        <f>IFERROR(__xludf.DUMMYFUNCTION("""COMPUTED_VALUE"""),"Mommy Does Incest")</f>
        <v>Mommy Does Incest</v>
      </c>
      <c r="D29" s="59" t="str">
        <f>IFERROR(__xludf.DUMMYFUNCTION("""COMPUTED_VALUE"""),"A mother confesses for the first time how she’s turned her son into her incest lover. ")</f>
        <v>A mother confesses for the first time how she’s turned her son into her incest lover. </v>
      </c>
      <c r="E29" s="27" t="str">
        <f>IFERROR(__xludf.DUMMYFUNCTION("""COMPUTED_VALUE"""),"MDlb, incest, handjob, breastfeeding, fingering, fisting, oral, cum eating, incest sex")</f>
        <v>MDlb, incest, handjob, breastfeeding, fingering, fisting, oral, cum eating, incest sex</v>
      </c>
    </row>
    <row r="30">
      <c r="A30" s="52">
        <f>IFERROR(__xludf.DUMMYFUNCTION("""COMPUTED_VALUE"""),279.0)</f>
        <v>279</v>
      </c>
      <c r="B30" s="51">
        <f>IFERROR(__xludf.DUMMYFUNCTION("""COMPUTED_VALUE"""),45020.0)</f>
        <v>45020</v>
      </c>
      <c r="C30" s="27" t="str">
        <f>IFERROR(__xludf.DUMMYFUNCTION("""COMPUTED_VALUE"""),"Custom: Mommy's Wanking Lesson")</f>
        <v>Custom: Mommy's Wanking Lesson</v>
      </c>
      <c r="D30" s="59" t="str">
        <f>IFERROR(__xludf.DUMMYFUNCTION("""COMPUTED_VALUE""")," I’ve caught my son watching me have sex with his father and decide it’s time to teach him about wanking and reveal some other things. ")</f>
        <v> I’ve caught my son watching me have sex with his father and decide it’s time to teach him about wanking and reveal some other things. </v>
      </c>
      <c r="E30" s="27" t="str">
        <f>IFERROR(__xludf.DUMMYFUNCTION("""COMPUTED_VALUE"""),"MDlb, masturbation encouragement, loving mommy, L bombs, CEI, tit sucking, handjob, bukkake fantasy, cum on tits")</f>
        <v>MDlb, masturbation encouragement, loving mommy, L bombs, CEI, tit sucking, handjob, bukkake fantasy, cum on tits</v>
      </c>
    </row>
    <row r="31">
      <c r="A31" s="52">
        <f>IFERROR(__xludf.DUMMYFUNCTION("""COMPUTED_VALUE"""),286.0)</f>
        <v>286</v>
      </c>
      <c r="B31" s="51">
        <f>IFERROR(__xludf.DUMMYFUNCTION("""COMPUTED_VALUE"""),45027.0)</f>
        <v>45027</v>
      </c>
      <c r="C31" s="27" t="str">
        <f>IFERROR(__xludf.DUMMYFUNCTION("""COMPUTED_VALUE"""),"Your Mom's Friend Tucks You In")</f>
        <v>Your Mom's Friend Tucks You In</v>
      </c>
      <c r="D31" s="59" t="str">
        <f>IFERROR(__xludf.DUMMYFUNCTION("""COMPUTED_VALUE"""),"Your mom is already passed out in bed after a night with her friend, me. I come in and tuck you into bed and you teach me the naughty games you and mommy play at bed time. ")</f>
        <v>Your mom is already passed out in bed after a night with her friend, me. I come in and tuck you into bed and you teach me the naughty games you and mommy play at bed time. </v>
      </c>
      <c r="E31" s="27" t="str">
        <f>IFERROR(__xludf.DUMMYFUNCTION("""COMPUTED_VALUE"""),"older woman/lb, tit sucking, blow job, bj sfx, wet sex sfx, creampie, breeding, good boy, MDlb")</f>
        <v>older woman/lb, tit sucking, blow job, bj sfx, wet sex sfx, creampie, breeding, good boy, MDlb</v>
      </c>
    </row>
    <row r="32">
      <c r="A32" s="52">
        <f>IFERROR(__xludf.DUMMYFUNCTION("""COMPUTED_VALUE"""),293.0)</f>
        <v>293</v>
      </c>
      <c r="B32" s="51">
        <f>IFERROR(__xludf.DUMMYFUNCTION("""COMPUTED_VALUE"""),45040.0)</f>
        <v>45040</v>
      </c>
      <c r="C32" s="27" t="str">
        <f>IFERROR(__xludf.DUMMYFUNCTION("""COMPUTED_VALUE"""),"Custom: Mommy's Son Turns Into Her Daughter Part 2")</f>
        <v>Custom: Mommy's Son Turns Into Her Daughter Part 2</v>
      </c>
      <c r="D32" s="59" t="str">
        <f>IFERROR(__xludf.DUMMYFUNCTION("""COMPUTED_VALUE"""),"I role-play as the desperate mom that turned her son into her daughter. My boyfriend returns after some time away and gets to see how well training has gone with my new daughter. ")</f>
        <v>I role-play as the desperate mom that turned her son into her daughter. My boyfriend returns after some time away and gets to see how well training has gone with my new daughter. </v>
      </c>
      <c r="E32" s="27" t="str">
        <f>IFERROR(__xludf.DUMMYFUNCTION("""COMPUTED_VALUE"""),"implied ap, MDlg, MDlb, chemical castrated, encouraged bi, forced feminization, oral, rimming, anal, kissing sfx, strap on, pegging, ass to mouth, training, multiple orgasms")</f>
        <v>implied ap, MDlg, MDlb, chemical castrated, encouraged bi, forced feminization, oral, rimming, anal, kissing sfx, strap on, pegging, ass to mouth, training, multiple orgasms</v>
      </c>
    </row>
    <row r="33">
      <c r="A33" s="52">
        <f>IFERROR(__xludf.DUMMYFUNCTION("""COMPUTED_VALUE"""),301.0)</f>
        <v>301</v>
      </c>
      <c r="B33" s="51">
        <f>IFERROR(__xludf.DUMMYFUNCTION("""COMPUTED_VALUE"""),45048.0)</f>
        <v>45048</v>
      </c>
      <c r="C33" s="27" t="str">
        <f>IFERROR(__xludf.DUMMYFUNCTION("""COMPUTED_VALUE"""),"Gaslighting Mommy")</f>
        <v>Gaslighting Mommy</v>
      </c>
      <c r="D33" s="59" t="str">
        <f>IFERROR(__xludf.DUMMYFUNCTION("""COMPUTED_VALUE"""),"We’ve spent years apart, but you move back in with me. One night, I climb into bed with you to talk about how excited I am you’re in my life again. I end up gaslighting and manipulating you to get what I ultimately want.  ")</f>
        <v>We’ve spent years apart, but you move back in with me. One night, I climb into bed with you to talk about how excited I am you’re in my life again. I end up gaslighting and manipulating you to get what I ultimately want.  </v>
      </c>
      <c r="E33" s="27" t="str">
        <f>IFERROR(__xludf.DUMMYFUNCTION("""COMPUTED_VALUE"""),"MDlb, mommy kink, handjob, noncon, foot fetish, encouraged &amp; forced bi, loving &amp; encouraging mom, bad mom, gaslighting, tease &amp; denial, edging, cum countdown, L bombs")</f>
        <v>MDlb, mommy kink, handjob, noncon, foot fetish, encouraged &amp; forced bi, loving &amp; encouraging mom, bad mom, gaslighting, tease &amp; denial, edging, cum countdown, L bombs</v>
      </c>
    </row>
    <row r="34">
      <c r="A34" s="52">
        <f>IFERROR(__xludf.DUMMYFUNCTION("""COMPUTED_VALUE"""),307.0)</f>
        <v>307</v>
      </c>
      <c r="B34" s="51">
        <f>IFERROR(__xludf.DUMMYFUNCTION("""COMPUTED_VALUE"""),45058.0)</f>
        <v>45058</v>
      </c>
      <c r="C34" s="27" t="str">
        <f>IFERROR(__xludf.DUMMYFUNCTION("""COMPUTED_VALUE"""),"Custom: Mommy Gets Gangbanged")</f>
        <v>Custom: Mommy Gets Gangbanged</v>
      </c>
      <c r="D34" s="59" t="str">
        <f>IFERROR(__xludf.DUMMYFUNCTION("""COMPUTED_VALUE"""),"You already know I’m a slutty mommy. I invite three neighbor brothers over so I can give them a special wanking. They get aggressive and want more than wanking. ")</f>
        <v>You already know I’m a slutty mommy. I invite three neighbor brothers over so I can give them a special wanking. They get aggressive and want more than wanking. </v>
      </c>
      <c r="E34" s="27" t="str">
        <f>IFERROR(__xludf.DUMMYFUNCTION("""COMPUTED_VALUE"""),"MDlb, raceplay, slutty milf, cum on tits, noncon, anal, creampie, force, cream-pie cleanup, CEI")</f>
        <v>MDlb, raceplay, slutty milf, cum on tits, noncon, anal, creampie, force, cream-pie cleanup, CEI</v>
      </c>
    </row>
    <row r="35">
      <c r="A35" s="52">
        <f>IFERROR(__xludf.DUMMYFUNCTION("""COMPUTED_VALUE"""),309.0)</f>
        <v>309</v>
      </c>
      <c r="B35" s="51">
        <f>IFERROR(__xludf.DUMMYFUNCTION("""COMPUTED_VALUE"""),45061.0)</f>
        <v>45061</v>
      </c>
      <c r="C35" s="27" t="str">
        <f>IFERROR(__xludf.DUMMYFUNCTION("""COMPUTED_VALUE"""),"Custom: Slut Mommy Storytime")</f>
        <v>Custom: Slut Mommy Storytime</v>
      </c>
      <c r="D35" s="59" t="str">
        <f>IFERROR(__xludf.DUMMYFUNCTION("""COMPUTED_VALUE"""),"Mom wakes you up in the middle of the night to wank you while telling you about the other guy she fucked earlier in the day ")</f>
        <v>Mom wakes you up in the middle of the night to wank you while telling you about the other guy she fucked earlier in the day </v>
      </c>
      <c r="E35" s="27" t="str">
        <f>IFERROR(__xludf.DUMMYFUNCTION("""COMPUTED_VALUE""")," MDlb, ASMR, handjob, multiple cum loads, cum on tits, creampie, throat pie, cum drunk, cuckold, kissing, CEI, milf")</f>
        <v> MDlb, ASMR, handjob, multiple cum loads, cum on tits, creampie, throat pie, cum drunk, cuckold, kissing, CEI, milf</v>
      </c>
    </row>
    <row r="36">
      <c r="A36" s="52">
        <f>IFERROR(__xludf.DUMMYFUNCTION("""COMPUTED_VALUE"""),310.0)</f>
        <v>310</v>
      </c>
      <c r="B36" s="51">
        <f>IFERROR(__xludf.DUMMYFUNCTION("""COMPUTED_VALUE"""),45062.0)</f>
        <v>45062</v>
      </c>
      <c r="C36" s="27" t="str">
        <f>IFERROR(__xludf.DUMMYFUNCTION("""COMPUTED_VALUE"""),"Custom: Breastfeeding Horny Mommy")</f>
        <v>Custom: Breastfeeding Horny Mommy</v>
      </c>
      <c r="D36" s="59" t="str">
        <f>IFERROR(__xludf.DUMMYFUNCTION("""COMPUTED_VALUE"""),"I role-play as a mom that can’t help but get horny from breastfeeding. You come in and catch me masturbating and I have you help your mother cum.")</f>
        <v>I role-play as a mom that can’t help but get horny from breastfeeding. You come in and catch me masturbating and I have you help your mother cum.</v>
      </c>
      <c r="E36" s="27" t="str">
        <f>IFERROR(__xludf.DUMMYFUNCTION("""COMPUTED_VALUE"""),"MDlb, female masturbation, breastfeeding, asshole teasing, fuck your mother, moaning, female orgasm")</f>
        <v>MDlb, female masturbation, breastfeeding, asshole teasing, fuck your mother, moaning, female orgasm</v>
      </c>
    </row>
    <row r="37">
      <c r="A37" s="52">
        <f>IFERROR(__xludf.DUMMYFUNCTION("""COMPUTED_VALUE"""),311.0)</f>
        <v>311</v>
      </c>
      <c r="B37" s="51">
        <f>IFERROR(__xludf.DUMMYFUNCTION("""COMPUTED_VALUE"""),45064.0)</f>
        <v>45064</v>
      </c>
      <c r="C37" s="27" t="str">
        <f>IFERROR(__xludf.DUMMYFUNCTION("""COMPUTED_VALUE"""),"Pervy Rambling Mom Helpers")</f>
        <v>Pervy Rambling Mom Helpers</v>
      </c>
      <c r="D37" s="59" t="str">
        <f>IFERROR(__xludf.DUMMYFUNCTION("""COMPUTED_VALUE"""),"Ramblings from the mind of Miss Bea")</f>
        <v>Ramblings from the mind of Miss Bea</v>
      </c>
      <c r="E37" s="27" t="str">
        <f>IFERROR(__xludf.DUMMYFUNCTION("""COMPUTED_VALUE"""),"accomplice, perv families, noncon, MDlb, rambling")</f>
        <v>accomplice, perv families, noncon, MDlb, rambling</v>
      </c>
    </row>
    <row r="38">
      <c r="A38" s="52">
        <f>IFERROR(__xludf.DUMMYFUNCTION("""COMPUTED_VALUE"""),316.0)</f>
        <v>316</v>
      </c>
      <c r="B38" s="51">
        <f>IFERROR(__xludf.DUMMYFUNCTION("""COMPUTED_VALUE"""),45079.0)</f>
        <v>45079</v>
      </c>
      <c r="C38" s="27" t="str">
        <f>IFERROR(__xludf.DUMMYFUNCTION("""COMPUTED_VALUE"""),"Custom: Hypnotherapy From Mommy")</f>
        <v>Custom: Hypnotherapy From Mommy</v>
      </c>
      <c r="D38" s="59" t="str">
        <f>IFERROR(__xludf.DUMMYFUNCTION("""COMPUTED_VALUE""")," You are my patient and I am your therapist. You have revealed some really twisted sexual desires and fantasies you have and I decide that the only way to help you deal with them in a “healthy” way is through hypnotherapy. I put you into trance and become"&amp;" your mother and age regress you, bringing up your attraction to your little sister and me, and finally taking your virginity.")</f>
        <v> You are my patient and I am your therapist. You have revealed some really twisted sexual desires and fantasies you have and I decide that the only way to help you deal with them in a “healthy” way is through hypnotherapy. I put you into trance and become your mother and age regress you, bringing up your attraction to your little sister and me, and finally taking your virginity.</v>
      </c>
      <c r="E38" s="27" t="str">
        <f>IFERROR(__xludf.DUMMYFUNCTION("""COMPUTED_VALUE"""),"hypno, binaural, therapist/patient, incest, age regression, little sis/big bro, MDlb, oral, oral sfx, cowgirl, incest sex, creampie, cum countdown, CEI, creampie cleanup.")</f>
        <v>hypno, binaural, therapist/patient, incest, age regression, little sis/big bro, MDlb, oral, oral sfx, cowgirl, incest sex, creampie, cum countdown, CEI, creampie cleanup.</v>
      </c>
    </row>
    <row r="39">
      <c r="A39" s="52">
        <f>IFERROR(__xludf.DUMMYFUNCTION("""COMPUTED_VALUE"""),319.0)</f>
        <v>319</v>
      </c>
      <c r="B39" s="51">
        <f>IFERROR(__xludf.DUMMYFUNCTION("""COMPUTED_VALUE"""),45083.0)</f>
        <v>45083</v>
      </c>
      <c r="C39" s="27" t="str">
        <f>IFERROR(__xludf.DUMMYFUNCTION("""COMPUTED_VALUE"""),"Slutty Mommy Confession")</f>
        <v>Slutty Mommy Confession</v>
      </c>
      <c r="D39" s="59" t="str">
        <f>IFERROR(__xludf.DUMMYFUNCTION("""COMPUTED_VALUE"""),"I sit you (the listener) down to let you in on my truth since you've been curious about so many things. I'm a slut for big cock and I reveal your father's cuck role and why I always have so many men over when he's not home. I am a manipulative and selfish"&amp;" slut mommy, slowly manipulating and mind fucking you into a cuck role by forcing you into the closet when one of my dates shows up during our talk.")</f>
        <v>I sit you (the listener) down to let you in on my truth since you've been curious about so many things. I'm a slut for big cock and I reveal your father's cuck role and why I always have so many men over when he's not home. I am a manipulative and selfish slut mommy, slowly manipulating and mind fucking you into a cuck role by forcing you into the closet when one of my dates shows up during our talk.</v>
      </c>
      <c r="E39" s="27" t="str">
        <f>IFERROR(__xludf.DUMMYFUNCTION("""COMPUTED_VALUE"""),"implied ap, MDlb, mommy kink, cuckold, size queen, humiliation, mindfuck, female moans, face slapping, blowjob sfx, anal, anal creampie, breeding, voyeur, creampie panties, cheating wife")</f>
        <v>implied ap, MDlb, mommy kink, cuckold, size queen, humiliation, mindfuck, female moans, face slapping, blowjob sfx, anal, anal creampie, breeding, voyeur, creampie panties, cheating wife</v>
      </c>
    </row>
    <row r="40">
      <c r="A40" s="52">
        <f>IFERROR(__xludf.DUMMYFUNCTION("""COMPUTED_VALUE"""),323.0)</f>
        <v>323</v>
      </c>
      <c r="B40" s="51">
        <f>IFERROR(__xludf.DUMMYFUNCTION("""COMPUTED_VALUE"""),45089.0)</f>
        <v>45089</v>
      </c>
      <c r="C40" s="27" t="str">
        <f>IFERROR(__xludf.DUMMYFUNCTION("""COMPUTED_VALUE"""),"Custom: Mommy Train")</f>
        <v>Custom: Mommy Train</v>
      </c>
      <c r="D40" s="59" t="str">
        <f>IFERROR(__xludf.DUMMYFUNCTION("""COMPUTED_VALUE"""),"You invite your friends over and I make you watch me enjoy each one, having you help and interact throughout")</f>
        <v>You invite your friends over and I make you watch me enjoy each one, having you help and interact throughout</v>
      </c>
      <c r="E40" s="27" t="str">
        <f>IFERROR(__xludf.DUMMYFUNCTION("""COMPUTED_VALUE"""),"MDlb, handjobs, cuckold, oral, creampie, anal, CEI, tit fuck, kissing, creampie cleanup, fingering, light raceplay")</f>
        <v>MDlb, handjobs, cuckold, oral, creampie, anal, CEI, tit fuck, kissing, creampie cleanup, fingering, light raceplay</v>
      </c>
    </row>
    <row r="41">
      <c r="A41" s="52">
        <f>IFERROR(__xludf.DUMMYFUNCTION("""COMPUTED_VALUE"""),334.0)</f>
        <v>334</v>
      </c>
      <c r="B41" s="51">
        <f>IFERROR(__xludf.DUMMYFUNCTION("""COMPUTED_VALUE"""),45104.0)</f>
        <v>45104</v>
      </c>
      <c r="C41" s="27" t="str">
        <f>IFERROR(__xludf.DUMMYFUNCTION("""COMPUTED_VALUE"""),"Custom: Welcome Home, Son")</f>
        <v>Custom: Welcome Home, Son</v>
      </c>
      <c r="D41" s="59" t="str">
        <f>IFERROR(__xludf.DUMMYFUNCTION("""COMPUTED_VALUE"""),"A new mother settles down with her family, setting the course of her son’s life. ")</f>
        <v>A new mother settles down with her family, setting the course of her son’s life. </v>
      </c>
      <c r="E41" s="27" t="str">
        <f>IFERROR(__xludf.DUMMYFUNCTION("""COMPUTED_VALUE"""),"incest, extreme ap, MDlb, DDlg, sibling incest, oral, anal")</f>
        <v>incest, extreme ap, MDlb, DDlg, sibling incest, oral, anal</v>
      </c>
    </row>
    <row r="42">
      <c r="A42" s="52">
        <f>IFERROR(__xludf.DUMMYFUNCTION("""COMPUTED_VALUE"""),337.0)</f>
        <v>337</v>
      </c>
      <c r="B42" s="51">
        <f>IFERROR(__xludf.DUMMYFUNCTION("""COMPUTED_VALUE"""),45109.0)</f>
        <v>45109</v>
      </c>
      <c r="C42" s="27" t="str">
        <f>IFERROR(__xludf.DUMMYFUNCTION("""COMPUTED_VALUE"""),"Improv Quickie: Anal Whore Mommy")</f>
        <v>Improv Quickie: Anal Whore Mommy</v>
      </c>
      <c r="D42" s="59" t="str">
        <f>IFERROR(__xludf.DUMMYFUNCTION("""COMPUTED_VALUE"""),"Just a down and dirty quickie about a mom offering her ass to her son. ")</f>
        <v>Just a down and dirty quickie about a mom offering her ass to her son. </v>
      </c>
      <c r="E42" s="27" t="str">
        <f>IFERROR(__xludf.DUMMYFUNCTION("""COMPUTED_VALUE"""),"incest, anal, slutty mommy, anal creampie, dirty talk, Mdlb")</f>
        <v>incest, anal, slutty mommy, anal creampie, dirty talk, Mdlb</v>
      </c>
    </row>
    <row r="43">
      <c r="A43" s="52">
        <f>IFERROR(__xludf.DUMMYFUNCTION("""COMPUTED_VALUE"""),339.0)</f>
        <v>339</v>
      </c>
      <c r="B43" s="51">
        <f>IFERROR(__xludf.DUMMYFUNCTION("""COMPUTED_VALUE"""),45107.0)</f>
        <v>45107</v>
      </c>
      <c r="C43" s="27" t="str">
        <f>IFERROR(__xludf.DUMMYFUNCTION("""COMPUTED_VALUE"""),"Bea Quickie: Pump For Mommy’s Tits")</f>
        <v>Bea Quickie: Pump For Mommy’s Tits</v>
      </c>
      <c r="D43" s="59" t="str">
        <f>IFERROR(__xludf.DUMMYFUNCTION("""COMPUTED_VALUE"""),"A quick audio where I show off my big mommy tits and beg for you to cover them with cum. ")</f>
        <v>A quick audio where I show off my big mommy tits and beg for you to cover them with cum. </v>
      </c>
      <c r="E43" s="27" t="str">
        <f>IFERROR(__xludf.DUMMYFUNCTION("""COMPUTED_VALUE"""),"mommy kink, big bimbo tits, cum on tits, cumslut, MDlb")</f>
        <v>mommy kink, big bimbo tits, cum on tits, cumslut, MDlb</v>
      </c>
    </row>
    <row r="44">
      <c r="A44" s="52">
        <f>IFERROR(__xludf.DUMMYFUNCTION("""COMPUTED_VALUE"""),345.0)</f>
        <v>345</v>
      </c>
      <c r="B44" s="51">
        <f>IFERROR(__xludf.DUMMYFUNCTION("""COMPUTED_VALUE"""),45110.0)</f>
        <v>45110</v>
      </c>
      <c r="C44" s="27" t="str">
        <f>IFERROR(__xludf.DUMMYFUNCTION("""COMPUTED_VALUE"""),"Script Fill: Mommy’s Wake Up")</f>
        <v>Script Fill: Mommy’s Wake Up</v>
      </c>
      <c r="D44" s="59" t="str">
        <f>IFERROR(__xludf.DUMMYFUNCTION("""COMPUTED_VALUE"""),"A mom tries to wake her son from a nap…in a special way. ")</f>
        <v>A mom tries to wake her son from a nap…in a special way. </v>
      </c>
      <c r="E44" s="27" t="str">
        <f>IFERROR(__xludf.DUMMYFUNCTION("""COMPUTED_VALUE"""),"MDlb, sweet mommy vibes, cuddle time, clit rubbing outercourse, penetration, wet sfx, female moan")</f>
        <v>MDlb, sweet mommy vibes, cuddle time, clit rubbing outercourse, penetration, wet sfx, female moan</v>
      </c>
    </row>
    <row r="45">
      <c r="A45" s="52">
        <f>IFERROR(__xludf.DUMMYFUNCTION("""COMPUTED_VALUE"""),354.0)</f>
        <v>354</v>
      </c>
      <c r="B45" s="51">
        <f>IFERROR(__xludf.DUMMYFUNCTION("""COMPUTED_VALUE"""),45121.0)</f>
        <v>45121</v>
      </c>
      <c r="C45" s="27" t="str">
        <f>IFERROR(__xludf.DUMMYFUNCTION("""COMPUTED_VALUE"""),"Custom: Mom Confesses Her Secret")</f>
        <v>Custom: Mom Confesses Her Secret</v>
      </c>
      <c r="D45" s="59" t="str">
        <f>IFERROR(__xludf.DUMMYFUNCTION("""COMPUTED_VALUE"""),"A confessional from a mother that lives alone with her son who taught him all about his body and sex...in a very unconventional way")</f>
        <v>A confessional from a mother that lives alone with her son who taught him all about his body and sex...in a very unconventional way</v>
      </c>
      <c r="E45" s="27" t="str">
        <f>IFERROR(__xludf.DUMMYFUNCTION("""COMPUTED_VALUE"""),"MDlb, handjob, prostate milking, confessional, loving/sweet mom")</f>
        <v>MDlb, handjob, prostate milking, confessional, loving/sweet mom</v>
      </c>
    </row>
    <row r="46">
      <c r="A46" s="52">
        <f>IFERROR(__xludf.DUMMYFUNCTION("""COMPUTED_VALUE"""),368.0)</f>
        <v>368</v>
      </c>
      <c r="B46" s="51">
        <f>IFERROR(__xludf.DUMMYFUNCTION("""COMPUTED_VALUE"""),45139.0)</f>
        <v>45139</v>
      </c>
      <c r="C46" s="27" t="str">
        <f>IFERROR(__xludf.DUMMYFUNCTION("""COMPUTED_VALUE"""),"Incest Mommy")</f>
        <v>Incest Mommy</v>
      </c>
      <c r="D46" s="59" t="str">
        <f>IFERROR(__xludf.DUMMYFUNCTION("""COMPUTED_VALUE"""),"A mother wakes up her son, finds a surprise, and shows him what his incestuous future will look like")</f>
        <v>A mother wakes up her son, finds a surprise, and shows him what his incestuous future will look like</v>
      </c>
      <c r="E46" s="27" t="str">
        <f>IFERROR(__xludf.DUMMYFUNCTION("""COMPUTED_VALUE"""),"incest, MDlb, extreme age")</f>
        <v>incest, MDlb, extreme age</v>
      </c>
    </row>
    <row r="47">
      <c r="A47" s="52">
        <f>IFERROR(__xludf.DUMMYFUNCTION("""COMPUTED_VALUE"""),369.0)</f>
        <v>369</v>
      </c>
      <c r="B47" s="51">
        <f>IFERROR(__xludf.DUMMYFUNCTION("""COMPUTED_VALUE"""),45139.0)</f>
        <v>45139</v>
      </c>
      <c r="C47" s="27" t="str">
        <f>IFERROR(__xludf.DUMMYFUNCTION("""COMPUTED_VALUE"""),"Slut Mommy Spies On You")</f>
        <v>Slut Mommy Spies On You</v>
      </c>
      <c r="D47" s="59" t="str">
        <f>IFERROR(__xludf.DUMMYFUNCTION("""COMPUTED_VALUE"""),"A mother catches her son jerking off and takes matters into her own hands. ")</f>
        <v>A mother catches her son jerking off and takes matters into her own hands. </v>
      </c>
      <c r="E47" s="27" t="str">
        <f>IFERROR(__xludf.DUMMYFUNCTION("""COMPUTED_VALUE"""),"incest, MDlb, slutty mommy, oral, oral sfx, mutual masturbation")</f>
        <v>incest, MDlb, slutty mommy, oral, oral sfx, mutual masturbation</v>
      </c>
    </row>
    <row r="48">
      <c r="A48" s="52">
        <f>IFERROR(__xludf.DUMMYFUNCTION("""COMPUTED_VALUE"""),374.0)</f>
        <v>374</v>
      </c>
      <c r="B48" s="51">
        <f>IFERROR(__xludf.DUMMYFUNCTION("""COMPUTED_VALUE"""),45153.0)</f>
        <v>45153</v>
      </c>
      <c r="C48" s="27" t="str">
        <f>IFERROR(__xludf.DUMMYFUNCTION("""COMPUTED_VALUE"""),"Custom Improv: Mom Goes To Therapy")</f>
        <v>Custom Improv: Mom Goes To Therapy</v>
      </c>
      <c r="D48" s="59" t="str">
        <f>IFERROR(__xludf.DUMMYFUNCTION("""COMPUTED_VALUE"""),"A mother confesses to her special relationship with her son to her therapist.")</f>
        <v>A mother confesses to her special relationship with her son to her therapist.</v>
      </c>
      <c r="E48" s="27" t="str">
        <f>IFERROR(__xludf.DUMMYFUNCTION("""COMPUTED_VALUE"""),"MDlb, incest, confession, naughty mommy, breastfeeding")</f>
        <v>MDlb, incest, confession, naughty mommy, breastfeeding</v>
      </c>
    </row>
    <row r="49">
      <c r="A49" s="52">
        <f>IFERROR(__xludf.DUMMYFUNCTION("""COMPUTED_VALUE"""),381.0)</f>
        <v>381</v>
      </c>
      <c r="B49" s="51">
        <f>IFERROR(__xludf.DUMMYFUNCTION("""COMPUTED_VALUE"""),45160.0)</f>
        <v>45160</v>
      </c>
      <c r="C49" s="27" t="str">
        <f>IFERROR(__xludf.DUMMYFUNCTION("""COMPUTED_VALUE"""),"Custom: Mommy’s Sissy Girl")</f>
        <v>Custom: Mommy’s Sissy Girl</v>
      </c>
      <c r="D49" s="59" t="str">
        <f>IFERROR(__xludf.DUMMYFUNCTION("""COMPUTED_VALUE"""),"You get turned into a sissy girl for mommy and daddy.")</f>
        <v>You get turned into a sissy girl for mommy and daddy.</v>
      </c>
      <c r="E49" s="27" t="str">
        <f>IFERROR(__xludf.DUMMYFUNCTION("""COMPUTED_VALUE"""),"MDlb, sissification, feminization, breastfeeding, farting sfx, brief scat, watersports, sissy breeding w/daddy")</f>
        <v>MDlb, sissification, feminization, breastfeeding, farting sfx, brief scat, watersports, sissy breeding w/daddy</v>
      </c>
    </row>
    <row r="50">
      <c r="A50" s="52">
        <f>IFERROR(__xludf.DUMMYFUNCTION("""COMPUTED_VALUE"""),386.0)</f>
        <v>386</v>
      </c>
      <c r="B50" s="51">
        <f>IFERROR(__xludf.DUMMYFUNCTION("""COMPUTED_VALUE"""),45168.0)</f>
        <v>45168</v>
      </c>
      <c r="C50" s="27" t="str">
        <f>IFERROR(__xludf.DUMMYFUNCTION("""COMPUTED_VALUE"""),"Incest Mommy Daughter Convo")</f>
        <v>Incest Mommy Daughter Convo</v>
      </c>
      <c r="D50" s="59" t="str">
        <f>IFERROR(__xludf.DUMMYFUNCTION("""COMPUTED_VALUE"""),"I voice as a mother and daughter in this audio having a conversation on the phone about our incest family growth and future.")</f>
        <v>I voice as a mother and daughter in this audio having a conversation on the phone about our incest family growth and future.</v>
      </c>
      <c r="E50" s="27" t="str">
        <f>IFERROR(__xludf.DUMMYFUNCTION("""COMPUTED_VALUE"""),"incest, MDlb, DDlg, inbreeding")</f>
        <v>incest, MDlb, DDlg, inbreeding</v>
      </c>
    </row>
    <row r="51">
      <c r="A51" s="52">
        <f>IFERROR(__xludf.DUMMYFUNCTION("""COMPUTED_VALUE"""),388.0)</f>
        <v>388</v>
      </c>
      <c r="B51" s="51">
        <f>IFERROR(__xludf.DUMMYFUNCTION("""COMPUTED_VALUE"""),45168.0)</f>
        <v>45168</v>
      </c>
      <c r="C51" s="27" t="str">
        <f>IFERROR(__xludf.DUMMYFUNCTION("""COMPUTED_VALUE"""),"Improv: A Mother’s Nightmare")</f>
        <v>Improv: A Mother’s Nightmare</v>
      </c>
      <c r="D51" s="59" t="str">
        <f>IFERROR(__xludf.DUMMYFUNCTION("""COMPUTED_VALUE"""),"In order to escape a war ridden country, a couple offers refuge by making a family perform a show on camera before they escape.")</f>
        <v>In order to escape a war ridden country, a couple offers refuge by making a family perform a show on camera before they escape.</v>
      </c>
      <c r="E51" s="27" t="str">
        <f>IFERROR(__xludf.DUMMYFUNCTION("""COMPUTED_VALUE"""),"confessional style, incest, forced incest, DDlg, MDlb, siblings")</f>
        <v>confessional style, incest, forced incest, DDlg, MDlb, siblings</v>
      </c>
    </row>
    <row r="52">
      <c r="A52" s="52">
        <f>IFERROR(__xludf.DUMMYFUNCTION("""COMPUTED_VALUE"""),391.0)</f>
        <v>391</v>
      </c>
      <c r="B52" s="51">
        <f>IFERROR(__xludf.DUMMYFUNCTION("""COMPUTED_VALUE"""),45171.0)</f>
        <v>45171</v>
      </c>
      <c r="C52" s="27" t="str">
        <f>IFERROR(__xludf.DUMMYFUNCTION("""COMPUTED_VALUE"""),"Improv: Mommy’s Good Mindless Boy")</f>
        <v>Improv: Mommy’s Good Mindless Boy</v>
      </c>
      <c r="D52" s="59" t="str">
        <f>IFERROR(__xludf.DUMMYFUNCTION("""COMPUTED_VALUE"""),"Light hypno file that encourages you to become triggered by my voice and hearing me say, “good boy.”")</f>
        <v>Light hypno file that encourages you to become triggered by my voice and hearing me say, “good boy.”</v>
      </c>
      <c r="E52" s="27" t="str">
        <f>IFERROR(__xludf.DUMMYFUNCTION("""COMPUTED_VALUE"""),"hypno, snaps, edge, tease, MDlb")</f>
        <v>hypno, snaps, edge, tease, MDlb</v>
      </c>
    </row>
    <row r="53">
      <c r="A53" s="60">
        <f>IFERROR(__xludf.DUMMYFUNCTION("""COMPUTED_VALUE"""),414.0)</f>
        <v>414</v>
      </c>
      <c r="B53" s="61">
        <f>IFERROR(__xludf.DUMMYFUNCTION("""COMPUTED_VALUE"""),45199.0)</f>
        <v>45199</v>
      </c>
      <c r="C53" s="60" t="str">
        <f>IFERROR(__xludf.DUMMYFUNCTION("""COMPUTED_VALUE"""),"Script Fill: Park Playtime w/Mommy")</f>
        <v>Script Fill: Park Playtime w/Mommy</v>
      </c>
      <c r="D53" s="60" t="str">
        <f>IFERROR(__xludf.DUMMYFUNCTION("""COMPUTED_VALUE"""),"A mom pulls her son to the side to satisfy his extra play time request.")</f>
        <v>A mom pulls her son to the side to satisfy his extra play time request.</v>
      </c>
      <c r="E53" s="60" t="str">
        <f>IFERROR(__xludf.DUMMYFUNCTION("""COMPUTED_VALUE"""),"MDlb, public sex, moaning, blow job")</f>
        <v>MDlb, public sex, moaning, blow job</v>
      </c>
    </row>
    <row r="54">
      <c r="A54" s="60">
        <f>IFERROR(__xludf.DUMMYFUNCTION("""COMPUTED_VALUE"""),418.0)</f>
        <v>418</v>
      </c>
      <c r="B54" s="61">
        <f>IFERROR(__xludf.DUMMYFUNCTION("""COMPUTED_VALUE"""),45206.0)</f>
        <v>45206</v>
      </c>
      <c r="C54" s="60" t="str">
        <f>IFERROR(__xludf.DUMMYFUNCTION("""COMPUTED_VALUE"""),"Improv: Webcam Incest Whore")</f>
        <v>Improv: Webcam Incest Whore</v>
      </c>
      <c r="D54" s="60" t="str">
        <f>IFERROR(__xludf.DUMMYFUNCTION("""COMPUTED_VALUE"""),"A woman ends up accepting cash payment for doing forbidden incest acts on camera.")</f>
        <v>A woman ends up accepting cash payment for doing forbidden incest acts on camera.</v>
      </c>
      <c r="E54" s="60" t="str">
        <f>IFERROR(__xludf.DUMMYFUNCTION("""COMPUTED_VALUE"""),"incest, MDlb, DDlg, group sex, bad mom")</f>
        <v>incest, MDlb, DDlg, group sex, bad mom</v>
      </c>
    </row>
    <row r="55">
      <c r="A55" s="60">
        <f>IFERROR(__xludf.DUMMYFUNCTION("""COMPUTED_VALUE"""),419.0)</f>
        <v>419</v>
      </c>
      <c r="B55" s="61">
        <f>IFERROR(__xludf.DUMMYFUNCTION("""COMPUTED_VALUE"""),45210.0)</f>
        <v>45210</v>
      </c>
      <c r="C55" s="60" t="str">
        <f>IFERROR(__xludf.DUMMYFUNCTION("""COMPUTED_VALUE"""),"Custom: Mommy’s Sissy Girl Part 2")</f>
        <v>Custom: Mommy’s Sissy Girl Part 2</v>
      </c>
      <c r="D55" s="60" t="str">
        <f>IFERROR(__xludf.DUMMYFUNCTION("""COMPUTED_VALUE"""),"Mommy has turned her son into her daughter and has more kinky fun with her little princess")</f>
        <v>Mommy has turned her son into her daughter and has more kinky fun with her little princess</v>
      </c>
      <c r="E55" s="60" t="str">
        <f>IFERROR(__xludf.DUMMYFUNCTION("""COMPUTED_VALUE"""),"sissification, MDlb, scat, watersports, breastfeeding, gangbang, oral, anal, creampies")</f>
        <v>sissification, MDlb, scat, watersports, breastfeeding, gangbang, oral, anal, creampies</v>
      </c>
    </row>
    <row r="56">
      <c r="A56" s="60">
        <f>IFERROR(__xludf.DUMMYFUNCTION("""COMPUTED_VALUE"""),436.0)</f>
        <v>436</v>
      </c>
      <c r="B56" s="61">
        <f>IFERROR(__xludf.DUMMYFUNCTION("""COMPUTED_VALUE"""),45224.0)</f>
        <v>45224</v>
      </c>
      <c r="C56" s="60" t="str">
        <f>IFERROR(__xludf.DUMMYFUNCTION("""COMPUTED_VALUE"""),"Improv: Mom Encourages Brothers")</f>
        <v>Improv: Mom Encourages Brothers</v>
      </c>
      <c r="D56" s="60" t="str">
        <f>IFERROR(__xludf.DUMMYFUNCTION("""COMPUTED_VALUE"""),"I overhear my boys using the f slur as an insult and give them a hands on lesson.")</f>
        <v>I overhear my boys using the f slur as an insult and give them a hands on lesson.</v>
      </c>
      <c r="E56" s="60" t="str">
        <f>IFERROR(__xludf.DUMMYFUNCTION("""COMPUTED_VALUE"""),"MDlb, incest, brother/brother, encouraged bu, DDlb, handjob, oral, 69")</f>
        <v>MDlb, incest, brother/brother, encouraged bu, DDlb, handjob, oral, 69</v>
      </c>
    </row>
    <row r="57">
      <c r="A57" s="60">
        <f>IFERROR(__xludf.DUMMYFUNCTION("""COMPUTED_VALUE"""),442.0)</f>
        <v>442</v>
      </c>
      <c r="B57" s="61">
        <f>IFERROR(__xludf.DUMMYFUNCTION("""COMPUTED_VALUE"""),45231.0)</f>
        <v>45231</v>
      </c>
      <c r="C57" s="60" t="str">
        <f>IFERROR(__xludf.DUMMYFUNCTION("""COMPUTED_VALUE"""),"Improv: Mommy’s Gay Boys")</f>
        <v>Improv: Mommy’s Gay Boys</v>
      </c>
      <c r="D57" s="60" t="str">
        <f>IFERROR(__xludf.DUMMYFUNCTION("""COMPUTED_VALUE"""),"As a treat for Mother’s Day, Mommy demands a show and pegging fest with Daddy and her sons. ")</f>
        <v>As a treat for Mother’s Day, Mommy demands a show and pegging fest with Daddy and her sons. </v>
      </c>
      <c r="E57" s="60" t="str">
        <f>IFERROR(__xludf.DUMMYFUNCTION("""COMPUTED_VALUE"""),"MDlb, encouraged bi, pegging, rimming, incest")</f>
        <v>MDlb, encouraged bi, pegging, rimming, incest</v>
      </c>
    </row>
    <row r="58">
      <c r="A58" s="60">
        <f>IFERROR(__xludf.DUMMYFUNCTION("""COMPUTED_VALUE"""),443.0)</f>
        <v>443</v>
      </c>
      <c r="B58" s="61">
        <f>IFERROR(__xludf.DUMMYFUNCTION("""COMPUTED_VALUE"""),45231.0)</f>
        <v>45231</v>
      </c>
      <c r="C58" s="60" t="str">
        <f>IFERROR(__xludf.DUMMYFUNCTION("""COMPUTED_VALUE"""),"Custom: Naughty Bible Study Mommies")</f>
        <v>Custom: Naughty Bible Study Mommies</v>
      </c>
      <c r="D58" s="60" t="str">
        <f>IFERROR(__xludf.DUMMYFUNCTION("""COMPUTED_VALUE"""),"A mother is part of a bible study group that uses a bible study as a front, using their sons as entertainment and sexual use.")</f>
        <v>A mother is part of a bible study group that uses a bible study as a front, using their sons as entertainment and sexual use.</v>
      </c>
      <c r="E58" s="60" t="str">
        <f>IFERROR(__xludf.DUMMYFUNCTION("""COMPUTED_VALUE"""),"MDlb, femdom, anal fisting, pegging, pussy fisting")</f>
        <v>MDlb, femdom, anal fisting, pegging, pussy fisting</v>
      </c>
    </row>
    <row r="59">
      <c r="A59" s="60">
        <f>IFERROR(__xludf.DUMMYFUNCTION("""COMPUTED_VALUE"""),445.0)</f>
        <v>445</v>
      </c>
      <c r="B59" s="61">
        <f>IFERROR(__xludf.DUMMYFUNCTION("""COMPUTED_VALUE"""),45232.0)</f>
        <v>45232</v>
      </c>
      <c r="C59" s="60" t="str">
        <f>IFERROR(__xludf.DUMMYFUNCTION("""COMPUTED_VALUE"""),"Improv: You Might Have a Mommy Kink If… ")</f>
        <v>Improv: You Might Have a Mommy Kink If… </v>
      </c>
      <c r="D59" s="60" t="str">
        <f>IFERROR(__xludf.DUMMYFUNCTION("""COMPUTED_VALUE"""),"Wondering if you have a Mommy Domme kink? You might know for sure after this.")</f>
        <v>Wondering if you have a Mommy Domme kink? You might know for sure after this.</v>
      </c>
      <c r="E59" s="60" t="str">
        <f>IFERROR(__xludf.DUMMYFUNCTION("""COMPUTED_VALUE"""),"MDlb, incest-ish, femdom")</f>
        <v>MDlb, incest-ish, femdom</v>
      </c>
    </row>
    <row r="60">
      <c r="A60" s="60">
        <f>IFERROR(__xludf.DUMMYFUNCTION("""COMPUTED_VALUE"""),449.0)</f>
        <v>449</v>
      </c>
      <c r="B60" s="61">
        <f>IFERROR(__xludf.DUMMYFUNCTION("""COMPUTED_VALUE"""),45236.0)</f>
        <v>45236</v>
      </c>
      <c r="C60" s="60" t="str">
        <f>IFERROR(__xludf.DUMMYFUNCTION("""COMPUTED_VALUE"""),"Improv: Sleeping Mommy Fuck")</f>
        <v>Improv: Sleeping Mommy Fuck</v>
      </c>
      <c r="D60" s="60" t="str">
        <f>IFERROR(__xludf.DUMMYFUNCTION("""COMPUTED_VALUE"""),"My sweet boy crawls into bed in the middle of the night and I commit to appearing I’m asleep…even whenever he start touching and fucking.")</f>
        <v>My sweet boy crawls into bed in the middle of the night and I commit to appearing I’m asleep…even whenever he start touching and fucking.</v>
      </c>
      <c r="E60" s="60" t="str">
        <f>IFERROR(__xludf.DUMMYFUNCTION("""COMPUTED_VALUE"""),"MDlb, incest")</f>
        <v>MDlb, incest</v>
      </c>
    </row>
    <row r="61">
      <c r="A61" s="60">
        <f>IFERROR(__xludf.DUMMYFUNCTION("""COMPUTED_VALUE"""),455.0)</f>
        <v>455</v>
      </c>
      <c r="B61" s="61">
        <f>IFERROR(__xludf.DUMMYFUNCTION("""COMPUTED_VALUE"""),45244.0)</f>
        <v>45244</v>
      </c>
      <c r="C61" s="60" t="str">
        <f>IFERROR(__xludf.DUMMYFUNCTION("""COMPUTED_VALUE"""),"Custom: Mom Turns You Into a Perv Daddy")</f>
        <v>Custom: Mom Turns You Into a Perv Daddy</v>
      </c>
      <c r="D61" s="60" t="str">
        <f>IFERROR(__xludf.DUMMYFUNCTION("""COMPUTED_VALUE"""),"I’m your mom and I think we should have a baby so I can watch you become a naughty daddy. ")</f>
        <v>I’m your mom and I think we should have a baby so I can watch you become a naughty daddy. </v>
      </c>
      <c r="E61" s="60" t="str">
        <f>IFERROR(__xludf.DUMMYFUNCTION("""COMPUTED_VALUE"""),"MDlb, incest, pervert encouragement, oral sfx, breeding")</f>
        <v>MDlb, incest, pervert encouragement, oral sfx, breeding</v>
      </c>
    </row>
    <row r="62">
      <c r="A62" s="60">
        <f>IFERROR(__xludf.DUMMYFUNCTION("""COMPUTED_VALUE"""),459.0)</f>
        <v>459</v>
      </c>
      <c r="B62" s="61">
        <f>IFERROR(__xludf.DUMMYFUNCTION("""COMPUTED_VALUE"""),45247.0)</f>
        <v>45247</v>
      </c>
      <c r="C62" s="60" t="str">
        <f>IFERROR(__xludf.DUMMYFUNCTION("""COMPUTED_VALUE"""),"Improv: Whore Mommy’s Whore")</f>
        <v>Improv: Whore Mommy’s Whore</v>
      </c>
      <c r="D62" s="60" t="str">
        <f>IFERROR(__xludf.DUMMYFUNCTION("""COMPUTED_VALUE"""),"Your mom is the town whore and she teaches you about sex, her job, and turns you out as well. ")</f>
        <v>Your mom is the town whore and she teaches you about sex, her job, and turns you out as well. </v>
      </c>
      <c r="E62" s="60" t="str">
        <f>IFERROR(__xludf.DUMMYFUNCTION("""COMPUTED_VALUE"""),"prostitute mommy, incest, forced bi, light humiliation, gaslighting mommy, MDlb, gangbang")</f>
        <v>prostitute mommy, incest, forced bi, light humiliation, gaslighting mommy, MDlb, gangbang</v>
      </c>
    </row>
    <row r="63">
      <c r="A63" s="60">
        <f>IFERROR(__xludf.DUMMYFUNCTION("""COMPUTED_VALUE"""),462.0)</f>
        <v>462</v>
      </c>
      <c r="B63" s="61">
        <f>IFERROR(__xludf.DUMMYFUNCTION("""COMPUTED_VALUE"""),45251.0)</f>
        <v>45251</v>
      </c>
      <c r="C63" s="60" t="str">
        <f>IFERROR(__xludf.DUMMYFUNCTION("""COMPUTED_VALUE"""),"Improv: Whore Mommy Makes You a Man")</f>
        <v>Improv: Whore Mommy Makes You a Man</v>
      </c>
      <c r="D63" s="60" t="str">
        <f>IFERROR(__xludf.DUMMYFUNCTION("""COMPUTED_VALUE"""),"You overhear and spy on your mother getting railed. She invites you after he leaves and teaches you about sex and the roles that men and women play…in her whore-ish perspective ")</f>
        <v>You overhear and spy on your mother getting railed. She invites you after he leaves and teaches you about sex and the roles that men and women play…in her whore-ish perspective </v>
      </c>
      <c r="E63" s="60" t="str">
        <f>IFERROR(__xludf.DUMMYFUNCTION("""COMPUTED_VALUE"""),"incest, MDlb, misogyny, noncon, corrupting Mommy, handjob, family gangbang")</f>
        <v>incest, MDlb, misogyny, noncon, corrupting Mommy, handjob, family gangbang</v>
      </c>
    </row>
    <row r="64">
      <c r="A64" s="60">
        <f>IFERROR(__xludf.DUMMYFUNCTION("""COMPUTED_VALUE"""),463.0)</f>
        <v>463</v>
      </c>
      <c r="B64" s="61">
        <f>IFERROR(__xludf.DUMMYFUNCTION("""COMPUTED_VALUE"""),45252.0)</f>
        <v>45252</v>
      </c>
      <c r="C64" s="60" t="str">
        <f>IFERROR(__xludf.DUMMYFUNCTION("""COMPUTED_VALUE"""),"Improv: Public Perving")</f>
        <v>Improv: Public Perving</v>
      </c>
      <c r="D64" s="60" t="str">
        <f>IFERROR(__xludf.DUMMYFUNCTION("""COMPUTED_VALUE"""),"Me and you are sitting inside of mall, people watching, while I set up naughty, depraved scenarios to tease and arouse you. ")</f>
        <v>Me and you are sitting inside of mall, people watching, while I set up naughty, depraved scenarios to tease and arouse you. </v>
      </c>
      <c r="E64" s="60" t="str">
        <f>IFERROR(__xludf.DUMMYFUNCTION("""COMPUTED_VALUE"""),"public handjob, incest, DDlg, MDlb")</f>
        <v>public handjob, incest, DDlg, MDlb</v>
      </c>
    </row>
    <row r="65">
      <c r="A65" s="60">
        <f>IFERROR(__xludf.DUMMYFUNCTION("""COMPUTED_VALUE"""),484.0)</f>
        <v>484</v>
      </c>
      <c r="B65" s="61">
        <f>IFERROR(__xludf.DUMMYFUNCTION("""COMPUTED_VALUE"""),45647.0)</f>
        <v>45647</v>
      </c>
      <c r="C65" s="60" t="str">
        <f>IFERROR(__xludf.DUMMYFUNCTION("""COMPUTED_VALUE"""),"Custom: Mommy Gets Abusive")</f>
        <v>Custom: Mommy Gets Abusive</v>
      </c>
      <c r="D65" s="60" t="str">
        <f>IFERROR(__xludf.DUMMYFUNCTION("""COMPUTED_VALUE"""),"You’re my husband and I get a wild idea one evening. ")</f>
        <v>You’re my husband and I get a wild idea one evening. </v>
      </c>
      <c r="E65" s="60" t="str">
        <f>IFERROR(__xludf.DUMMYFUNCTION("""COMPUTED_VALUE"""),"MDlb, DDlb, beast, watersports, sadistic, humiliation, oral, anal, f slur, forced bi")</f>
        <v>MDlb, DDlb, beast, watersports, sadistic, humiliation, oral, anal, f slur, forced bi</v>
      </c>
    </row>
    <row r="66">
      <c r="A66" s="60">
        <f>IFERROR(__xludf.DUMMYFUNCTION("""COMPUTED_VALUE"""),485.0)</f>
        <v>485</v>
      </c>
      <c r="B66" s="61">
        <f>IFERROR(__xludf.DUMMYFUNCTION("""COMPUTED_VALUE"""),45647.0)</f>
        <v>45647</v>
      </c>
      <c r="C66" s="60" t="str">
        <f>IFERROR(__xludf.DUMMYFUNCTION("""COMPUTED_VALUE"""),"Improv: Best Mom Ever")</f>
        <v>Improv: Best Mom Ever</v>
      </c>
      <c r="D66" s="60" t="str">
        <f>IFERROR(__xludf.DUMMYFUNCTION("""COMPUTED_VALUE"""),"I’m your slut mommy and the best mom because I have an idea to please you even more. ")</f>
        <v>I’m your slut mommy and the best mom because I have an idea to please you even more. </v>
      </c>
      <c r="E66" s="60" t="str">
        <f>IFERROR(__xludf.DUMMYFUNCTION("""COMPUTED_VALUE"""),"MDlb, slutty mommy, anal, TikTok sluts, breeding, training")</f>
        <v>MDlb, slutty mommy, anal, TikTok sluts, breeding, training</v>
      </c>
    </row>
    <row r="67">
      <c r="A67" s="60">
        <f>IFERROR(__xludf.DUMMYFUNCTION("""COMPUTED_VALUE"""),497.0)</f>
        <v>497</v>
      </c>
      <c r="B67" s="61">
        <f>IFERROR(__xludf.DUMMYFUNCTION("""COMPUTED_VALUE"""),45295.0)</f>
        <v>45295</v>
      </c>
      <c r="C67" s="60" t="str">
        <f>IFERROR(__xludf.DUMMYFUNCTION("""COMPUTED_VALUE"""),"Improv: Best Mom Ever Pt 2")</f>
        <v>Improv: Best Mom Ever Pt 2</v>
      </c>
      <c r="D67" s="60" t="str">
        <f>IFERROR(__xludf.DUMMYFUNCTION("""COMPUTED_VALUE"""),"Your loving, slut mommy is proud of you for turning our daughter into your anal whore.")</f>
        <v>Your loving, slut mommy is proud of you for turning our daughter into your anal whore.</v>
      </c>
      <c r="E67" s="60" t="str">
        <f>IFERROR(__xludf.DUMMYFUNCTION("""COMPUTED_VALUE"""),"anal only, MDlb, accomplice mommy, loving mommy, misogyny, ass to mouth")</f>
        <v>anal only, MDlb, accomplice mommy, loving mommy, misogyny, ass to mouth</v>
      </c>
    </row>
    <row r="68">
      <c r="A68" s="60">
        <f>IFERROR(__xludf.DUMMYFUNCTION("""COMPUTED_VALUE"""),498.0)</f>
        <v>498</v>
      </c>
      <c r="B68" s="61">
        <f>IFERROR(__xludf.DUMMYFUNCTION("""COMPUTED_VALUE"""),45295.0)</f>
        <v>45295</v>
      </c>
      <c r="C68" s="60" t="str">
        <f>IFERROR(__xludf.DUMMYFUNCTION("""COMPUTED_VALUE"""),"Mommy Shares Son With Daddy")</f>
        <v>Mommy Shares Son With Daddy</v>
      </c>
      <c r="D68" s="60" t="str">
        <f>IFERROR(__xludf.DUMMYFUNCTION("""COMPUTED_VALUE"""),"Mommy teases you relentlessly, never letting you fuck her. But, if you let Daddy have sex with you for the first time, you’re promised to have sex with mommy next time. ")</f>
        <v>Mommy teases you relentlessly, never letting you fuck her. But, if you let Daddy have sex with you for the first time, you’re promised to have sex with mommy next time. </v>
      </c>
      <c r="E68" s="60" t="str">
        <f>IFERROR(__xludf.DUMMYFUNCTION("""COMPUTED_VALUE"""),"3dio mic, ear licks &amp; kisses, ASMR, MDlb, whispers, handjob, CEI, encouraged bi, cock sucking, anal, facial, f slur")</f>
        <v>3dio mic, ear licks &amp; kisses, ASMR, MDlb, whispers, handjob, CEI, encouraged bi, cock sucking, anal, facial, f slur</v>
      </c>
    </row>
    <row r="69">
      <c r="A69" s="60">
        <f>IFERROR(__xludf.DUMMYFUNCTION("""COMPUTED_VALUE"""),500.0)</f>
        <v>500</v>
      </c>
      <c r="B69" s="61">
        <f>IFERROR(__xludf.DUMMYFUNCTION("""COMPUTED_VALUE"""),45296.0)</f>
        <v>45296</v>
      </c>
      <c r="C69" s="60" t="str">
        <f>IFERROR(__xludf.DUMMYFUNCTION("""COMPUTED_VALUE"""),"Improv: Daddy Encourages Breastfeeding Mommy")</f>
        <v>Improv: Daddy Encourages Breastfeeding Mommy</v>
      </c>
      <c r="D69" s="60" t="str">
        <f>IFERROR(__xludf.DUMMYFUNCTION("""COMPUTED_VALUE"""),"A mom admits how horny she gets breastfeeding and daddy encourages more.  ")</f>
        <v>A mom admits how horny she gets breastfeeding and daddy encourages more.  </v>
      </c>
      <c r="E69" s="60" t="str">
        <f>IFERROR(__xludf.DUMMYFUNCTION("""COMPUTED_VALUE"""),"MDlb, breastfeeding, female moans, daddy accomplice")</f>
        <v>MDlb, breastfeeding, female moans, daddy accomplice</v>
      </c>
    </row>
    <row r="70">
      <c r="A70" s="60">
        <f>IFERROR(__xludf.DUMMYFUNCTION("""COMPUTED_VALUE"""),504.0)</f>
        <v>504</v>
      </c>
      <c r="B70" s="61">
        <f>IFERROR(__xludf.DUMMYFUNCTION("""COMPUTED_VALUE"""),45300.0)</f>
        <v>45300</v>
      </c>
      <c r="C70" s="60" t="str">
        <f>IFERROR(__xludf.DUMMYFUNCTION("""COMPUTED_VALUE"""),"Script Fill: First Communion ")</f>
        <v>Script Fill: First Communion </v>
      </c>
      <c r="D70" s="60" t="str">
        <f>IFERROR(__xludf.DUMMYFUNCTION("""COMPUTED_VALUE"""),"A Catholic priest’s wife and son have an incestuous affair.  ")</f>
        <v>A Catholic priest’s wife and son have an incestuous affair.  </v>
      </c>
      <c r="E70" s="60" t="str">
        <f>IFERROR(__xludf.DUMMYFUNCTION("""COMPUTED_VALUE""")," MDlb, blasphemy, incest")</f>
        <v> MDlb, blasphemy, incest</v>
      </c>
    </row>
    <row r="71">
      <c r="A71" s="60">
        <f>IFERROR(__xludf.DUMMYFUNCTION("""COMPUTED_VALUE"""),506.0)</f>
        <v>506</v>
      </c>
      <c r="B71" s="61">
        <f>IFERROR(__xludf.DUMMYFUNCTION("""COMPUTED_VALUE"""),45301.0)</f>
        <v>45301</v>
      </c>
      <c r="C71" s="60" t="str">
        <f>IFERROR(__xludf.DUMMYFUNCTION("""COMPUTED_VALUE"""),"Silent Call: Mommy’s Pervert Encouragement")</f>
        <v>Silent Call: Mommy’s Pervert Encouragement</v>
      </c>
      <c r="D71" s="60" t="str">
        <f>IFERROR(__xludf.DUMMYFUNCTION("""COMPUTED_VALUE"""),"A confessional type of story about a mother who not only begins an incestuous love affair with her son, but also encourages his secret perv life.  ")</f>
        <v>A confessional type of story about a mother who not only begins an incestuous love affair with her son, but also encourages his secret perv life.  </v>
      </c>
      <c r="E71" s="60" t="str">
        <f>IFERROR(__xludf.DUMMYFUNCTION("""COMPUTED_VALUE"""),"MDlb, incest, pervert encouragement")</f>
        <v>MDlb, incest, pervert encouragement</v>
      </c>
    </row>
    <row r="72">
      <c r="A72" s="60">
        <f>IFERROR(__xludf.DUMMYFUNCTION("""COMPUTED_VALUE"""),509.0)</f>
        <v>509</v>
      </c>
      <c r="B72" s="61">
        <f>IFERROR(__xludf.DUMMYFUNCTION("""COMPUTED_VALUE"""),45303.0)</f>
        <v>45303</v>
      </c>
      <c r="C72" s="60" t="str">
        <f>IFERROR(__xludf.DUMMYFUNCTION("""COMPUTED_VALUE""")," Improv: Ebony Ass Meat")</f>
        <v> Improv: Ebony Ass Meat</v>
      </c>
      <c r="D72" s="60" t="str">
        <f>IFERROR(__xludf.DUMMYFUNCTION("""COMPUTED_VALUE"""),"Mommy encourages you to pump and get triggered by beautiful black women with gorgeous, fat asses.  ")</f>
        <v>Mommy encourages you to pump and get triggered by beautiful black women with gorgeous, fat asses.  </v>
      </c>
      <c r="E72" s="60" t="str">
        <f>IFERROR(__xludf.DUMMYFUNCTION("""COMPUTED_VALUE""")," no ap, race play, anal only, misogyny, MDlb")</f>
        <v> no ap, race play, anal only, misogyny, MDlb</v>
      </c>
    </row>
    <row r="73">
      <c r="A73" s="60">
        <f>IFERROR(__xludf.DUMMYFUNCTION("""COMPUTED_VALUE"""),518.0)</f>
        <v>518</v>
      </c>
      <c r="B73" s="61">
        <f>IFERROR(__xludf.DUMMYFUNCTION("""COMPUTED_VALUE"""),45319.0)</f>
        <v>45319</v>
      </c>
      <c r="C73" s="60" t="str">
        <f>IFERROR(__xludf.DUMMYFUNCTION("""COMPUTED_VALUE"""),"Improv: Mommy’s Love &amp; Corruption")</f>
        <v>Improv: Mommy’s Love &amp; Corruption</v>
      </c>
      <c r="D73" s="60" t="str">
        <f>IFERROR(__xludf.DUMMYFUNCTION("""COMPUTED_VALUE"""),"A loving mother talks to her son about how she’s lovingly corrupted him to always get what is deserved. ")</f>
        <v>A loving mother talks to her son about how she’s lovingly corrupted him to always get what is deserved. </v>
      </c>
      <c r="E73" s="60" t="str">
        <f>IFERROR(__xludf.DUMMYFUNCTION("""COMPUTED_VALUE"""),"MDlb, corruption, pervert encouragement, anal")</f>
        <v>MDlb, corruption, pervert encouragement, anal</v>
      </c>
    </row>
    <row r="74">
      <c r="A74" s="60">
        <f>IFERROR(__xludf.DUMMYFUNCTION("""COMPUTED_VALUE"""),523.0)</f>
        <v>523</v>
      </c>
      <c r="B74" s="61">
        <f>IFERROR(__xludf.DUMMYFUNCTION("""COMPUTED_VALUE"""),45329.0)</f>
        <v>45329</v>
      </c>
      <c r="C74" s="60" t="str">
        <f>IFERROR(__xludf.DUMMYFUNCTION("""COMPUTED_VALUE"""),"Improv: Sweet P Mommy")</f>
        <v>Improv: Sweet P Mommy</v>
      </c>
      <c r="D74" s="60" t="str">
        <f>IFERROR(__xludf.DUMMYFUNCTION("""COMPUTED_VALUE"""),"A sweet P Mommy finally takes her son for the first time. ASMR heavy file with lots of ear licks. ")</f>
        <v>A sweet P Mommy finally takes her son for the first time. ASMR heavy file with lots of ear licks. </v>
      </c>
      <c r="E74" s="60" t="str">
        <f>IFERROR(__xludf.DUMMYFUNCTION("""COMPUTED_VALUE"""),"MDlb, ASMR, ear licks, incest, sensual")</f>
        <v>MDlb, ASMR, ear licks, incest, sensual</v>
      </c>
    </row>
    <row r="75">
      <c r="A75" s="60">
        <f>IFERROR(__xludf.DUMMYFUNCTION("""COMPUTED_VALUE"""),524.0)</f>
        <v>524</v>
      </c>
      <c r="B75" s="61">
        <f>IFERROR(__xludf.DUMMYFUNCTION("""COMPUTED_VALUE"""),45329.0)</f>
        <v>45329</v>
      </c>
      <c r="C75" s="60" t="str">
        <f>IFERROR(__xludf.DUMMYFUNCTION("""COMPUTED_VALUE"""),"Custom: Hypno Mommy")</f>
        <v>Custom: Hypno Mommy</v>
      </c>
      <c r="D75" s="60" t="str">
        <f>IFERROR(__xludf.DUMMYFUNCTION("""COMPUTED_VALUE"""),"A slow burn, taboo mesmerize session. I am your Mommy and I am a professional hypnotist. You've been stressed and seem tense so I talk you into a session. Seems innocent enough. Your body shows signs of arousal while going into trance which surprises me a"&amp;"t first. But then I can't stop looking at it. Looking at you. Wanting to get closer. You will hear Mommy's inner turmoil until I eventually use my hypnotic control over you to get what I want. ")</f>
        <v>A slow burn, taboo mesmerize session. I am your Mommy and I am a professional hypnotist. You've been stressed and seem tense so I talk you into a session. Seems innocent enough. Your body shows signs of arousal while going into trance which surprises me at first. But then I can't stop looking at it. Looking at you. Wanting to get closer. You will hear Mommy's inner turmoil until I eventually use my hypnotic control over you to get what I want. </v>
      </c>
      <c r="E75" s="60" t="str">
        <f>IFERROR(__xludf.DUMMYFUNCTION("""COMPUTED_VALUE"""),"implied ap, MDlb, hypnosis, cnc, slow burn, breeding, incest")</f>
        <v>implied ap, MDlb, hypnosis, cnc, slow burn, breeding, incest</v>
      </c>
    </row>
    <row r="76">
      <c r="A76" s="60">
        <f>IFERROR(__xludf.DUMMYFUNCTION("""COMPUTED_VALUE"""),526.0)</f>
        <v>526</v>
      </c>
      <c r="B76" s="61">
        <f>IFERROR(__xludf.DUMMYFUNCTION("""COMPUTED_VALUE"""),45330.0)</f>
        <v>45330</v>
      </c>
      <c r="C76" s="60" t="str">
        <f>IFERROR(__xludf.DUMMYFUNCTION("""COMPUTED_VALUE"""),"Improv: Birth of a P Mom")</f>
        <v>Improv: Birth of a P Mom</v>
      </c>
      <c r="D76" s="60" t="str">
        <f>IFERROR(__xludf.DUMMYFUNCTION("""COMPUTED_VALUE"""),"A mother finds something disturbing in her son’s room which starts even more disturbing yet horny thoughts in her own mind. ")</f>
        <v>A mother finds something disturbing in her son’s room which starts even more disturbing yet horny thoughts in her own mind. </v>
      </c>
      <c r="E76" s="60" t="str">
        <f>IFERROR(__xludf.DUMMYFUNCTION("""COMPUTED_VALUE"""),"MDlb, MDlg, DDlb, beast, incest, watersports")</f>
        <v>MDlb, MDlg, DDlb, beast, incest, watersports</v>
      </c>
    </row>
    <row r="77">
      <c r="A77" s="60">
        <f>IFERROR(__xludf.DUMMYFUNCTION("""COMPUTED_VALUE"""),531.0)</f>
        <v>531</v>
      </c>
      <c r="B77" s="61">
        <f>IFERROR(__xludf.DUMMYFUNCTION("""COMPUTED_VALUE"""),45340.0)</f>
        <v>45340</v>
      </c>
      <c r="C77" s="60" t="str">
        <f>IFERROR(__xludf.DUMMYFUNCTION("""COMPUTED_VALUE"""),"Improv: Mommy’s Perv Rehab")</f>
        <v>Improv: Mommy’s Perv Rehab</v>
      </c>
      <c r="D77" s="60" t="str">
        <f>IFERROR(__xludf.DUMMYFUNCTION("""COMPUTED_VALUE"""),"I role-play as your mother who helps you deal with your taboo perversions. ")</f>
        <v>I role-play as your mother who helps you deal with your taboo perversions. </v>
      </c>
      <c r="E77" s="60" t="str">
        <f>IFERROR(__xludf.DUMMYFUNCTION("""COMPUTED_VALUE"""),"MDlb, pervert encouragement, incest")</f>
        <v>MDlb, pervert encouragement, incest</v>
      </c>
    </row>
    <row r="78">
      <c r="A78" s="60">
        <f>IFERROR(__xludf.DUMMYFUNCTION("""COMPUTED_VALUE"""),535.0)</f>
        <v>535</v>
      </c>
      <c r="B78" s="61">
        <f>IFERROR(__xludf.DUMMYFUNCTION("""COMPUTED_VALUE"""),45348.0)</f>
        <v>45348</v>
      </c>
      <c r="C78" s="60" t="str">
        <f>IFERROR(__xludf.DUMMYFUNCTION("""COMPUTED_VALUE"""),"Improv: Accidental Mommy Sex")</f>
        <v>Improv: Accidental Mommy Sex</v>
      </c>
      <c r="D78" s="60" t="str">
        <f>IFERROR(__xludf.DUMMYFUNCTION("""COMPUTED_VALUE"""),"A round of innocent play fighting turns into sex. ")</f>
        <v>A round of innocent play fighting turns into sex. </v>
      </c>
      <c r="E78" s="60" t="str">
        <f>IFERROR(__xludf.DUMMYFUNCTION("""COMPUTED_VALUE"""),"MDlb, wet sex sfx, incest")</f>
        <v>MDlb, wet sex sfx, incest</v>
      </c>
    </row>
    <row r="79">
      <c r="A79" s="52">
        <f>IFERROR(__xludf.DUMMYFUNCTION("""COMPUTED_VALUE"""),537.0)</f>
        <v>537</v>
      </c>
      <c r="B79" s="51">
        <f>IFERROR(__xludf.DUMMYFUNCTION("""COMPUTED_VALUE"""),45350.0)</f>
        <v>45350</v>
      </c>
      <c r="C79" s="27" t="str">
        <f>IFERROR(__xludf.DUMMYFUNCTION("""COMPUTED_VALUE"""),"Improv: Family Business")</f>
        <v>Improv: Family Business</v>
      </c>
      <c r="D79" s="59" t="str">
        <f>IFERROR(__xludf.DUMMYFUNCTION("""COMPUTED_VALUE"""),"I role-play as a mother to a family that does wild live streams in sneaky public places.")</f>
        <v>I role-play as a mother to a family that does wild live streams in sneaky public places.</v>
      </c>
      <c r="E79" s="27" t="str">
        <f>IFERROR(__xludf.DUMMYFUNCTION("""COMPUTED_VALUE"""),"incest, public sex, MDlb, MDlg, DDlg, DDlb, beast")</f>
        <v>incest, public sex, MDlb, MDlg, DDlg, DDlb, beast</v>
      </c>
    </row>
    <row r="80">
      <c r="A80" s="52">
        <f>IFERROR(__xludf.DUMMYFUNCTION("""COMPUTED_VALUE"""),547.0)</f>
        <v>547</v>
      </c>
      <c r="B80" s="51">
        <f>IFERROR(__xludf.DUMMYFUNCTION("""COMPUTED_VALUE"""),45362.0)</f>
        <v>45362</v>
      </c>
      <c r="C80" s="27" t="str">
        <f>IFERROR(__xludf.DUMMYFUNCTION("""COMPUTED_VALUE"""),"Improv: Drunk Mommy Sex")</f>
        <v>Improv: Drunk Mommy Sex</v>
      </c>
      <c r="D80" s="59" t="str">
        <f>IFERROR(__xludf.DUMMYFUNCTION("""COMPUTED_VALUE"""),"Mom comes home drunk and cuddles with her son until he takes advantage of the situation. ")</f>
        <v>Mom comes home drunk and cuddles with her son until he takes advantage of the situation. </v>
      </c>
      <c r="E80" s="27" t="str">
        <f>IFERROR(__xludf.DUMMYFUNCTION("""COMPUTED_VALUE"""),"MDlb, incest, pervert encouragement")</f>
        <v>MDlb, incest, pervert encouragement</v>
      </c>
    </row>
    <row r="81">
      <c r="A81" s="52">
        <f>IFERROR(__xludf.DUMMYFUNCTION("""COMPUTED_VALUE"""),558.0)</f>
        <v>558</v>
      </c>
      <c r="B81" s="51">
        <f>IFERROR(__xludf.DUMMYFUNCTION("""COMPUTED_VALUE"""),45369.0)</f>
        <v>45369</v>
      </c>
      <c r="C81" s="27" t="str">
        <f>IFERROR(__xludf.DUMMYFUNCTION("""COMPUTED_VALUE"""),"Silent Call: Corrupted Mother")</f>
        <v>Silent Call: Corrupted Mother</v>
      </c>
      <c r="D81" s="59" t="str">
        <f>IFERROR(__xludf.DUMMYFUNCTION("""COMPUTED_VALUE"""),"Two for one story. A mother dives into an incestuous relationship which then leads to another story about another mother that was used for their pleasure. ")</f>
        <v>Two for one story. A mother dives into an incestuous relationship which then leads to another story about another mother that was used for their pleasure. </v>
      </c>
      <c r="E81" s="27" t="str">
        <f>IFERROR(__xludf.DUMMYFUNCTION("""COMPUTED_VALUE"""),"MDlb, DDlg, incest, accomplice")</f>
        <v>MDlb, DDlg, incest, accomplice</v>
      </c>
    </row>
    <row r="82">
      <c r="A82" s="52">
        <f>IFERROR(__xludf.DUMMYFUNCTION("""COMPUTED_VALUE"""),559.0)</f>
        <v>559</v>
      </c>
      <c r="B82" s="51">
        <f>IFERROR(__xludf.DUMMYFUNCTION("""COMPUTED_VALUE"""),45370.0)</f>
        <v>45370</v>
      </c>
      <c r="C82" s="27" t="str">
        <f>IFERROR(__xludf.DUMMYFUNCTION("""COMPUTED_VALUE"""),"Improv: Mother Lover")</f>
        <v>Improv: Mother Lover</v>
      </c>
      <c r="D82" s="59" t="str">
        <f>IFERROR(__xludf.DUMMYFUNCTION("""COMPUTED_VALUE"""),"Your mother is your lover, degrades your father, and plans your future")</f>
        <v>Your mother is your lover, degrades your father, and plans your future</v>
      </c>
      <c r="E82" s="27" t="str">
        <f>IFERROR(__xludf.DUMMYFUNCTION("""COMPUTED_VALUE"""),"no ap, MDlb, incest, breeding")</f>
        <v>no ap, MDlb, incest, breeding</v>
      </c>
    </row>
    <row r="83">
      <c r="A83" s="52">
        <f>IFERROR(__xludf.DUMMYFUNCTION("""COMPUTED_VALUE"""),562.0)</f>
        <v>562</v>
      </c>
      <c r="B83" s="51">
        <f>IFERROR(__xludf.DUMMYFUNCTION("""COMPUTED_VALUE"""),45372.0)</f>
        <v>45372</v>
      </c>
      <c r="C83" s="27" t="str">
        <f>IFERROR(__xludf.DUMMYFUNCTION("""COMPUTED_VALUE"""),"Improv: Family of the Year")</f>
        <v>Improv: Family of the Year</v>
      </c>
      <c r="D83" s="59" t="str">
        <f>IFERROR(__xludf.DUMMYFUNCTION("""COMPUTED_VALUE"""),"I’m the mother of a huge family and being interviewed while a family orgy is taking place. ")</f>
        <v>I’m the mother of a huge family and being interviewed while a family orgy is taking place. </v>
      </c>
      <c r="E83" s="27" t="str">
        <f>IFERROR(__xludf.DUMMYFUNCTION("""COMPUTED_VALUE"""),"incest, bi encouragement, intox, incest, DDlg, DDlb, MDlb, MDlg, siblings, fisting, double penetration")</f>
        <v>incest, bi encouragement, intox, incest, DDlg, DDlb, MDlb, MDlg, siblings, fisting, double penetration</v>
      </c>
    </row>
    <row r="84">
      <c r="A84" s="52">
        <f>IFERROR(__xludf.DUMMYFUNCTION("""COMPUTED_VALUE"""),563.0)</f>
        <v>563</v>
      </c>
      <c r="B84" s="51">
        <f>IFERROR(__xludf.DUMMYFUNCTION("""COMPUTED_VALUE"""),45372.0)</f>
        <v>45372</v>
      </c>
      <c r="C84" s="27" t="str">
        <f>IFERROR(__xludf.DUMMYFUNCTION("""COMPUTED_VALUE"""),"Improv: Mommy’s Porn Encouragement")</f>
        <v>Improv: Mommy’s Porn Encouragement</v>
      </c>
      <c r="D84" s="59" t="str">
        <f>IFERROR(__xludf.DUMMYFUNCTION("""COMPUTED_VALUE"""),"Your mom encourages you through pumping to your favorite porn and social media teases")</f>
        <v>Your mom encourages you through pumping to your favorite porn and social media teases</v>
      </c>
      <c r="E84" s="27" t="str">
        <f>IFERROR(__xludf.DUMMYFUNCTION("""COMPUTED_VALUE"""),"MDlb, pervert encouragement, anal")</f>
        <v>MDlb, pervert encouragement, anal</v>
      </c>
    </row>
    <row r="85">
      <c r="A85" s="52">
        <f>IFERROR(__xludf.DUMMYFUNCTION("""COMPUTED_VALUE"""),573.0)</f>
        <v>573</v>
      </c>
      <c r="B85" s="51">
        <f>IFERROR(__xludf.DUMMYFUNCTION("""COMPUTED_VALUE"""),45385.0)</f>
        <v>45385</v>
      </c>
      <c r="C85" s="27" t="str">
        <f>IFERROR(__xludf.DUMMYFUNCTION("""COMPUTED_VALUE"""),"Custom: Hypno Mommy Part 2")</f>
        <v>Custom: Hypno Mommy Part 2</v>
      </c>
      <c r="D85" s="59" t="str">
        <f>IFERROR(__xludf.DUMMYFUNCTION("""COMPUTED_VALUE"""),"Another slow burn with Mommy. See the timeline for part 1.
In part 1, our Mommy character struggles with feelings of arousal and desire after putting her son into trance for innocent reasons. Her taboo hunger gets the better of her. 
Part 2 is no differ"&amp;"ent. Our Mommy character feels conflicted and is talked into giving another session to help aid in the listener's self improvement journey. What happens in trance...well, stays in trance. Again.")</f>
        <v>Another slow burn with Mommy. See the timeline for part 1.
In part 1, our Mommy character struggles with feelings of arousal and desire after putting her son into trance for innocent reasons. Her taboo hunger gets the better of her. 
Part 2 is no different. Our Mommy character feels conflicted and is talked into giving another session to help aid in the listener's self improvement journey. What happens in trance...well, stays in trance. Again.</v>
      </c>
      <c r="E85" s="27" t="str">
        <f>IFERROR(__xludf.DUMMYFUNCTION("""COMPUTED_VALUE"""),"no ap, incest, cnc, hypnosis, breeding, MDlb")</f>
        <v>no ap, incest, cnc, hypnosis, breeding, MDlb</v>
      </c>
    </row>
    <row r="86">
      <c r="A86" s="52">
        <f>IFERROR(__xludf.DUMMYFUNCTION("""COMPUTED_VALUE"""),576.0)</f>
        <v>576</v>
      </c>
      <c r="B86" s="51">
        <f>IFERROR(__xludf.DUMMYFUNCTION("""COMPUTED_VALUE"""),45388.0)</f>
        <v>45388</v>
      </c>
      <c r="C86" s="27" t="str">
        <f>IFERROR(__xludf.DUMMYFUNCTION("""COMPUTED_VALUE"""),"Improv: Pervy Disney Streaming")</f>
        <v>Improv: Pervy Disney Streaming</v>
      </c>
      <c r="D86" s="59" t="str">
        <f>IFERROR(__xludf.DUMMYFUNCTION("""COMPUTED_VALUE"""),"The public perving family takes a trip to Disney World and livestreams their depravity. ")</f>
        <v>The public perving family takes a trip to Disney World and livestreams their depravity. </v>
      </c>
      <c r="E86" s="27" t="str">
        <f>IFERROR(__xludf.DUMMYFUNCTION("""COMPUTED_VALUE"""),"public sex, incest, DDlg, MDlb, orgy")</f>
        <v>public sex, incest, DDlg, MDlb, orgy</v>
      </c>
    </row>
    <row r="87">
      <c r="A87" s="52">
        <f>IFERROR(__xludf.DUMMYFUNCTION("""COMPUTED_VALUE"""),578.0)</f>
        <v>578</v>
      </c>
      <c r="B87" s="51">
        <f>IFERROR(__xludf.DUMMYFUNCTION("""COMPUTED_VALUE"""),45390.0)</f>
        <v>45390</v>
      </c>
      <c r="C87" s="27" t="str">
        <f>IFERROR(__xludf.DUMMYFUNCTION("""COMPUTED_VALUE"""),"Scripts: Aaron Kasmov Script Showcase")</f>
        <v>Scripts: Aaron Kasmov Script Showcase</v>
      </c>
      <c r="D87" s="59" t="str">
        <f>IFERROR(__xludf.DUMMYFUNCTION("""COMPUTED_VALUE"""),"This file contains 8 short scripts written by Aaron Kasmov. Please enjoy the depravity. ")</f>
        <v>This file contains 8 short scripts written by Aaron Kasmov. Please enjoy the depravity. </v>
      </c>
      <c r="E87" s="27" t="str">
        <f>IFERROR(__xludf.DUMMYFUNCTION("""COMPUTED_VALUE"""),"beastiality, bad mom, MDlb, gangbang, brothel")</f>
        <v>beastiality, bad mom, MDlb, gangbang, brothel</v>
      </c>
    </row>
    <row r="88">
      <c r="A88" s="52">
        <f>IFERROR(__xludf.DUMMYFUNCTION("""COMPUTED_VALUE"""),585.0)</f>
        <v>585</v>
      </c>
      <c r="B88" s="51">
        <f>IFERROR(__xludf.DUMMYFUNCTION("""COMPUTED_VALUE"""),45397.0)</f>
        <v>45397</v>
      </c>
      <c r="C88" s="27" t="str">
        <f>IFERROR(__xludf.DUMMYFUNCTION("""COMPUTED_VALUE"""),"Improv: Mommy Takes You")</f>
        <v>Improv: Mommy Takes You</v>
      </c>
      <c r="D88" s="59" t="str">
        <f>IFERROR(__xludf.DUMMYFUNCTION("""COMPUTED_VALUE"""),"I’ve been wanking you for years but now I want you to have all of Mommy")</f>
        <v>I’ve been wanking you for years but now I want you to have all of Mommy</v>
      </c>
      <c r="E88" s="27" t="str">
        <f>IFERROR(__xludf.DUMMYFUNCTION("""COMPUTED_VALUE"""),"MDlb, incest, CEI, all three holes")</f>
        <v>MDlb, incest, CEI, all three holes</v>
      </c>
    </row>
    <row r="89">
      <c r="A89" s="52">
        <f>IFERROR(__xludf.DUMMYFUNCTION("""COMPUTED_VALUE"""),591.0)</f>
        <v>591</v>
      </c>
      <c r="B89" s="51">
        <f>IFERROR(__xludf.DUMMYFUNCTION("""COMPUTED_VALUE"""),45406.0)</f>
        <v>45406</v>
      </c>
      <c r="C89" s="27" t="str">
        <f>IFERROR(__xludf.DUMMYFUNCTION("""COMPUTED_VALUE"""),"Improv: Curious Brother")</f>
        <v>Improv: Curious Brother</v>
      </c>
      <c r="D89" s="59" t="str">
        <f>IFERROR(__xludf.DUMMYFUNCTION("""COMPUTED_VALUE"""),"The listener gets curious about his little sister’s private parts and gets a lesson from Mommy. ")</f>
        <v>The listener gets curious about his little sister’s private parts and gets a lesson from Mommy. </v>
      </c>
      <c r="E89" s="27" t="str">
        <f>IFERROR(__xludf.DUMMYFUNCTION("""COMPUTED_VALUE"""),"siblings, incest, MDlb, creampie")</f>
        <v>siblings, incest, MDlb, creampie</v>
      </c>
    </row>
    <row r="90">
      <c r="A90" s="52">
        <f>IFERROR(__xludf.DUMMYFUNCTION("""COMPUTED_VALUE"""),602.0)</f>
        <v>602</v>
      </c>
      <c r="B90" s="51">
        <f>IFERROR(__xludf.DUMMYFUNCTION("""COMPUTED_VALUE"""),45420.0)</f>
        <v>45420</v>
      </c>
      <c r="C90" s="27" t="str">
        <f>IFERROR(__xludf.DUMMYFUNCTION("""COMPUTED_VALUE"""),"Silent Call: Mom Turns Into Your Accomplice")</f>
        <v>Silent Call: Mom Turns Into Your Accomplice</v>
      </c>
      <c r="D90" s="59" t="str">
        <f>IFERROR(__xludf.DUMMYFUNCTION("""COMPUTED_VALUE"""),"A mother/son story turns into an accomplice story")</f>
        <v>A mother/son story turns into an accomplice story</v>
      </c>
      <c r="E90" s="27" t="str">
        <f>IFERROR(__xludf.DUMMYFUNCTION("""COMPUTED_VALUE"""),"accomplice, MDlb, incest, breeding")</f>
        <v>accomplice, MDlb, incest, breeding</v>
      </c>
    </row>
    <row r="91">
      <c r="A91" s="52">
        <f>IFERROR(__xludf.DUMMYFUNCTION("""COMPUTED_VALUE"""),605.0)</f>
        <v>605</v>
      </c>
      <c r="B91" s="51">
        <f>IFERROR(__xludf.DUMMYFUNCTION("""COMPUTED_VALUE"""),45422.0)</f>
        <v>45422</v>
      </c>
      <c r="C91" s="27" t="str">
        <f>IFERROR(__xludf.DUMMYFUNCTION("""COMPUTED_VALUE"""),"Make Love to Mommy (In Trance)")</f>
        <v>Make Love to Mommy (In Trance)</v>
      </c>
      <c r="D91" s="59" t="str">
        <f>IFERROR(__xludf.DUMMYFUNCTION("""COMPUTED_VALUE"""),"A sensual Mommy Domme roleplay where I put you into trance and suggest we have sex for the first time")</f>
        <v>A sensual Mommy Domme roleplay where I put you into trance and suggest we have sex for the first time</v>
      </c>
      <c r="E91" s="27" t="str">
        <f>IFERROR(__xludf.DUMMYFUNCTION("""COMPUTED_VALUE"""),"implied ap, MDlb, incest, creampie, hypno")</f>
        <v>implied ap, MDlb, incest, creampie, hypno</v>
      </c>
    </row>
    <row r="92">
      <c r="A92" s="52">
        <f>IFERROR(__xludf.DUMMYFUNCTION("""COMPUTED_VALUE"""),608.0)</f>
        <v>608</v>
      </c>
      <c r="B92" s="51">
        <f>IFERROR(__xludf.DUMMYFUNCTION("""COMPUTED_VALUE"""),45426.0)</f>
        <v>45426</v>
      </c>
      <c r="C92" s="27" t="str">
        <f>IFERROR(__xludf.DUMMYFUNCTION("""COMPUTED_VALUE"""),"Mommy's Baby Shower Games")</f>
        <v>Mommy's Baby Shower Games</v>
      </c>
      <c r="D92" s="59" t="str">
        <f>IFERROR(__xludf.DUMMYFUNCTION("""COMPUTED_VALUE"""),"The listener is my son who I have turned into a proper sissy girl, Mommy's princess. I'm pregnant and set up a baby shower filled with the most perverse baby shower games that use my sissy girl. ")</f>
        <v>The listener is my son who I have turned into a proper sissy girl, Mommy's princess. I'm pregnant and set up a baby shower filled with the most perverse baby shower games that use my sissy girl. </v>
      </c>
      <c r="E92" s="27" t="str">
        <f>IFERROR(__xludf.DUMMYFUNCTION("""COMPUTED_VALUE"""),"sissification, MDlb, MDlg, scat, watersports, rimming, fisting, age regression, gangbang, female bukkake")</f>
        <v>sissification, MDlb, MDlg, scat, watersports, rimming, fisting, age regression, gangbang, female bukkake</v>
      </c>
    </row>
    <row r="93">
      <c r="A93" s="52">
        <f>IFERROR(__xludf.DUMMYFUNCTION("""COMPUTED_VALUE"""),618.0)</f>
        <v>618</v>
      </c>
      <c r="B93" s="51">
        <f>IFERROR(__xludf.DUMMYFUNCTION("""COMPUTED_VALUE"""),45449.0)</f>
        <v>45449</v>
      </c>
      <c r="C93" s="27" t="str">
        <f>IFERROR(__xludf.DUMMYFUNCTION("""COMPUTED_VALUE"""),"Perv Mom Makes It Real")</f>
        <v>Perv Mom Makes It Real</v>
      </c>
      <c r="D93" s="59" t="str">
        <f>IFERROR(__xludf.DUMMYFUNCTION("""COMPUTED_VALUE"""),"A teacher becomes obsessed with fantasies and brings those fantasies home. ")</f>
        <v>A teacher becomes obsessed with fantasies and brings those fantasies home. </v>
      </c>
      <c r="E93" s="27" t="str">
        <f>IFERROR(__xludf.DUMMYFUNCTION("""COMPUTED_VALUE"""),"female perv, MDlb, extreme ap, rimming, breeding, double penetration")</f>
        <v>female perv, MDlb, extreme ap, rimming, breeding, double penetration</v>
      </c>
    </row>
    <row r="94">
      <c r="A94" s="52">
        <f>IFERROR(__xludf.DUMMYFUNCTION("""COMPUTED_VALUE"""),621.0)</f>
        <v>621</v>
      </c>
      <c r="B94" s="51">
        <f>IFERROR(__xludf.DUMMYFUNCTION("""COMPUTED_VALUE"""),45454.0)</f>
        <v>45454</v>
      </c>
      <c r="C94" s="27" t="str">
        <f>IFERROR(__xludf.DUMMYFUNCTION("""COMPUTED_VALUE"""),"Mommy's Bedtime Games")</f>
        <v>Mommy's Bedtime Games</v>
      </c>
      <c r="D94" s="59" t="str">
        <f>IFERROR(__xludf.DUMMYFUNCTION("""COMPUTED_VALUE"""),"I roleplay as the listener's mother that introduces sis to our special Mom/son games for the first time. ")</f>
        <v>I roleplay as the listener's mother that introduces sis to our special Mom/son games for the first time. </v>
      </c>
      <c r="E94" s="27" t="str">
        <f>IFERROR(__xludf.DUMMYFUNCTION("""COMPUTED_VALUE"""),"incest, MDlb, MDlg, sibling")</f>
        <v>incest, MDlb, MDlg, sibling</v>
      </c>
    </row>
    <row r="95">
      <c r="A95" s="52">
        <f>IFERROR(__xludf.DUMMYFUNCTION("""COMPUTED_VALUE"""),626.0)</f>
        <v>626</v>
      </c>
      <c r="B95" s="51">
        <f>IFERROR(__xludf.DUMMYFUNCTION("""COMPUTED_VALUE"""),45461.0)</f>
        <v>45461</v>
      </c>
      <c r="C95" s="27" t="str">
        <f>IFERROR(__xludf.DUMMYFUNCTION("""COMPUTED_VALUE"""),"Naughty Mommy Webcam Fun")</f>
        <v>Naughty Mommy Webcam Fun</v>
      </c>
      <c r="D95" s="59" t="str">
        <f>IFERROR(__xludf.DUMMYFUNCTION("""COMPUTED_VALUE"""),"A mother has naughty fun on webcam with her son and daughter. ")</f>
        <v>A mother has naughty fun on webcam with her son and daughter. </v>
      </c>
      <c r="E95" s="27" t="str">
        <f>IFERROR(__xludf.DUMMYFUNCTION("""COMPUTED_VALUE"""),"MDlb, MDlg, accomplice, incest")</f>
        <v>MDlb, MDlg, accomplice, incest</v>
      </c>
    </row>
    <row r="96">
      <c r="A96" s="52">
        <f>IFERROR(__xludf.DUMMYFUNCTION("""COMPUTED_VALUE"""),632.0)</f>
        <v>632</v>
      </c>
      <c r="B96" s="51">
        <f>IFERROR(__xludf.DUMMYFUNCTION("""COMPUTED_VALUE"""),45468.0)</f>
        <v>45468</v>
      </c>
      <c r="C96" s="27" t="str">
        <f>IFERROR(__xludf.DUMMYFUNCTION("""COMPUTED_VALUE"""),"Sweet Anal Mommy")</f>
        <v>Sweet Anal Mommy</v>
      </c>
      <c r="D96" s="59" t="str">
        <f>IFERROR(__xludf.DUMMYFUNCTION("""COMPUTED_VALUE"""),"A mother is so obsessed with anal sex that she convinces her son it's totally normal for them to have. ")</f>
        <v>A mother is so obsessed with anal sex that she convinces her son it's totally normal for them to have. </v>
      </c>
      <c r="E96" s="27" t="str">
        <f>IFERROR(__xludf.DUMMYFUNCTION("""COMPUTED_VALUE"""),"incest, anal, MDlb")</f>
        <v>incest, anal, MDlb</v>
      </c>
    </row>
    <row r="97">
      <c r="A97" s="52">
        <f>IFERROR(__xludf.DUMMYFUNCTION("""COMPUTED_VALUE"""),637.0)</f>
        <v>637</v>
      </c>
      <c r="B97" s="51">
        <f>IFERROR(__xludf.DUMMYFUNCTION("""COMPUTED_VALUE"""),45475.0)</f>
        <v>45475</v>
      </c>
      <c r="C97" s="27" t="str">
        <f>IFERROR(__xludf.DUMMYFUNCTION("""COMPUTED_VALUE"""),"Mean Mommy Finds Your Anal Porn")</f>
        <v>Mean Mommy Finds Your Anal Porn</v>
      </c>
      <c r="D97" s="59" t="str">
        <f>IFERROR(__xludf.DUMMYFUNCTION("""COMPUTED_VALUE"""),"Your mother finds your anal incest porn collection and decides to punish you...is it really punishment? ")</f>
        <v>Your mother finds your anal incest porn collection and decides to punish you...is it really punishment? </v>
      </c>
      <c r="E97" s="27" t="str">
        <f>IFERROR(__xludf.DUMMYFUNCTION("""COMPUTED_VALUE"""),"incest, MDlb, anal, scat")</f>
        <v>incest, MDlb, anal, scat</v>
      </c>
    </row>
    <row r="98">
      <c r="A98" s="52">
        <f>IFERROR(__xludf.DUMMYFUNCTION("""COMPUTED_VALUE"""),644.0)</f>
        <v>644</v>
      </c>
      <c r="B98" s="51">
        <f>IFERROR(__xludf.DUMMYFUNCTION("""COMPUTED_VALUE"""),45491.0)</f>
        <v>45491</v>
      </c>
      <c r="C98" s="27" t="str">
        <f>IFERROR(__xludf.DUMMYFUNCTION("""COMPUTED_VALUE"""),"Birth of a P Mom Pt 2")</f>
        <v>Birth of a P Mom Pt 2</v>
      </c>
      <c r="D98" s="59" t="str">
        <f>IFERROR(__xludf.DUMMYFUNCTION("""COMPUTED_VALUE"""),"The newly formed perv mom expresses her love of perversions and love of her son and plans for the future. ")</f>
        <v>The newly formed perv mom expresses her love of perversions and love of her son and plans for the future. </v>
      </c>
      <c r="E98" s="27" t="str">
        <f>IFERROR(__xludf.DUMMYFUNCTION("""COMPUTED_VALUE"""),"incest, sibling, MDlb, MDlg, beast, misogyny")</f>
        <v>incest, sibling, MDlb, MDlg, beast, misogyny</v>
      </c>
    </row>
    <row r="99">
      <c r="A99" s="52">
        <f>IFERROR(__xludf.DUMMYFUNCTION("""COMPUTED_VALUE"""),645.0)</f>
        <v>645</v>
      </c>
      <c r="B99" s="51">
        <f>IFERROR(__xludf.DUMMYFUNCTION("""COMPUTED_VALUE"""),45494.0)</f>
        <v>45494</v>
      </c>
      <c r="C99" s="27" t="str">
        <f>IFERROR(__xludf.DUMMYFUNCTION("""COMPUTED_VALUE"""),"Misogyny Mommy Bedtime Lessons")</f>
        <v>Misogyny Mommy Bedtime Lessons</v>
      </c>
      <c r="D99" s="59" t="str">
        <f>IFERROR(__xludf.DUMMYFUNCTION("""COMPUTED_VALUE"""),"I found you looking a porn magazine which turns out is for ""school,"" so I use this time to instill some valuable life lessons of misogyny into my own son. ")</f>
        <v>I found you looking a porn magazine which turns out is for "school," so I use this time to instill some valuable life lessons of misogyny into my own son. </v>
      </c>
      <c r="E99" s="27" t="str">
        <f>IFERROR(__xludf.DUMMYFUNCTION("""COMPUTED_VALUE"""),"MDlb, misogyny, noncon")</f>
        <v>MDlb, misogyny, noncon</v>
      </c>
    </row>
    <row r="100">
      <c r="A100" s="52">
        <f>IFERROR(__xludf.DUMMYFUNCTION("""COMPUTED_VALUE"""),649.0)</f>
        <v>649</v>
      </c>
      <c r="B100" s="51">
        <f>IFERROR(__xludf.DUMMYFUNCTION("""COMPUTED_VALUE"""),45505.0)</f>
        <v>45505</v>
      </c>
      <c r="C100" s="27" t="str">
        <f>IFERROR(__xludf.DUMMYFUNCTION("""COMPUTED_VALUE"""),"Bitch Mom's Punishment")</f>
        <v>Bitch Mom's Punishment</v>
      </c>
      <c r="D100" s="59" t="str">
        <f>IFERROR(__xludf.DUMMYFUNCTION("""COMPUTED_VALUE"""),"A mother and her son got into an argument and this bitch mom gets put in her place. ")</f>
        <v>A mother and her son got into an argument and this bitch mom gets put in her place. </v>
      </c>
      <c r="E100" s="27" t="str">
        <f>IFERROR(__xludf.DUMMYFUNCTION("""COMPUTED_VALUE"""),"MDlb, incest, breeding, noncon")</f>
        <v>MDlb, incest, breeding, noncon</v>
      </c>
    </row>
    <row r="101">
      <c r="A101" s="52">
        <f>IFERROR(__xludf.DUMMYFUNCTION("""COMPUTED_VALUE"""),655.0)</f>
        <v>655</v>
      </c>
      <c r="B101" s="51">
        <f>IFERROR(__xludf.DUMMYFUNCTION("""COMPUTED_VALUE"""),45518.0)</f>
        <v>45518</v>
      </c>
      <c r="C101" s="27" t="str">
        <f>IFERROR(__xludf.DUMMYFUNCTION("""COMPUTED_VALUE"""),"Raising Boys to Men")</f>
        <v>Raising Boys to Men</v>
      </c>
      <c r="D101" s="59" t="str">
        <f>IFERROR(__xludf.DUMMYFUNCTION("""COMPUTED_VALUE"""),"Tune into a mother's podcast that is very passionate about ensring her sons are taught to be misogynistic men in their future. ")</f>
        <v>Tune into a mother's podcast that is very passionate about ensring her sons are taught to be misogynistic men in their future. </v>
      </c>
      <c r="E101" s="27" t="str">
        <f>IFERROR(__xludf.DUMMYFUNCTION("""COMPUTED_VALUE"""),"MDlb, misogyny, noncon")</f>
        <v>MDlb, misogyny, noncon</v>
      </c>
    </row>
    <row r="102">
      <c r="A102" s="52">
        <f>IFERROR(__xludf.DUMMYFUNCTION("""COMPUTED_VALUE"""),657.0)</f>
        <v>657</v>
      </c>
      <c r="B102" s="51">
        <f>IFERROR(__xludf.DUMMYFUNCTION("""COMPUTED_VALUE"""),45523.0)</f>
        <v>45523</v>
      </c>
      <c r="C102" s="27" t="str">
        <f>IFERROR(__xludf.DUMMYFUNCTION("""COMPUTED_VALUE"""),"BFF Female Pervs Pt 2")</f>
        <v>BFF Female Pervs Pt 2</v>
      </c>
      <c r="D102" s="59" t="str">
        <f>IFERROR(__xludf.DUMMYFUNCTION("""COMPUTED_VALUE"""),"Our friend comes over again to enjoy a night of depravity together. ")</f>
        <v>Our friend comes over again to enjoy a night of depravity together. </v>
      </c>
      <c r="E102" s="27" t="str">
        <f>IFERROR(__xludf.DUMMYFUNCTION("""COMPUTED_VALUE"""),"MDlb, intox, breeding, threesome, pervert women, breastfeeding")</f>
        <v>MDlb, intox, breeding, threesome, pervert women, breastfeeding</v>
      </c>
    </row>
    <row r="103">
      <c r="A103" s="52">
        <f>IFERROR(__xludf.DUMMYFUNCTION("""COMPUTED_VALUE"""),659.0)</f>
        <v>659</v>
      </c>
      <c r="B103" s="51">
        <f>IFERROR(__xludf.DUMMYFUNCTION("""COMPUTED_VALUE"""),45526.0)</f>
        <v>45526</v>
      </c>
      <c r="C103" s="27" t="str">
        <f>IFERROR(__xludf.DUMMYFUNCTION("""COMPUTED_VALUE"""),"Incest Baby Shower")</f>
        <v>Incest Baby Shower</v>
      </c>
      <c r="D103" s="59" t="str">
        <f>IFERROR(__xludf.DUMMYFUNCTION("""COMPUTED_VALUE"""),"Two baby showers are thrown within a close, uniquely sexual family. ")</f>
        <v>Two baby showers are thrown within a close, uniquely sexual family. </v>
      </c>
      <c r="E103" s="27" t="str">
        <f>IFERROR(__xludf.DUMMYFUNCTION("""COMPUTED_VALUE"""),"incest, DDlg, accomplice, breeding, MDlb, fisting, strap on")</f>
        <v>incest, DDlg, accomplice, breeding, MDlb, fisting, strap on</v>
      </c>
    </row>
    <row r="104">
      <c r="A104" s="52">
        <f>IFERROR(__xludf.DUMMYFUNCTION("""COMPUTED_VALUE"""),662.0)</f>
        <v>662</v>
      </c>
      <c r="B104" s="51">
        <f>IFERROR(__xludf.DUMMYFUNCTION("""COMPUTED_VALUE"""),45530.0)</f>
        <v>45530</v>
      </c>
      <c r="C104" s="27" t="str">
        <f>IFERROR(__xludf.DUMMYFUNCTION("""COMPUTED_VALUE"""),"Sweet Mommy Bedtime ASMR")</f>
        <v>Sweet Mommy Bedtime ASMR</v>
      </c>
      <c r="D104" s="59" t="str">
        <f>IFERROR(__xludf.DUMMYFUNCTION("""COMPUTED_VALUE"""),"My sweet boy comes into my bed in the middle of night and I help soothe him to sleep")</f>
        <v>My sweet boy comes into my bed in the middle of night and I help soothe him to sleep</v>
      </c>
      <c r="E104" s="27" t="str">
        <f>IFERROR(__xludf.DUMMYFUNCTION("""COMPUTED_VALUE"""),"ASMR, MDlb")</f>
        <v>ASMR, MDlb</v>
      </c>
    </row>
    <row r="105">
      <c r="A105" s="52">
        <f>IFERROR(__xludf.DUMMYFUNCTION("""COMPUTED_VALUE"""),667.0)</f>
        <v>667</v>
      </c>
      <c r="B105" s="51">
        <f>IFERROR(__xludf.DUMMYFUNCTION("""COMPUTED_VALUE"""),45541.0)</f>
        <v>45541</v>
      </c>
      <c r="C105" s="27" t="str">
        <f>IFERROR(__xludf.DUMMYFUNCTION("""COMPUTED_VALUE"""),"Split Personality Mother")</f>
        <v>Split Personality Mother</v>
      </c>
      <c r="D105" s="59" t="str">
        <f>IFERROR(__xludf.DUMMYFUNCTION("""COMPUTED_VALUE"""),"I'm your mother and sit you down to give you ""the talk"" but there's two personalities that come through: a soft, respectful mommy and misogynistic mommy. ")</f>
        <v>I'm your mother and sit you down to give you "the talk" but there's two personalities that come through: a soft, respectful mommy and misogynistic mommy. </v>
      </c>
      <c r="E105" s="27" t="str">
        <f>IFERROR(__xludf.DUMMYFUNCTION("""COMPUTED_VALUE"""),"misogyny, MDlb, degradation, gender traitor, noncon")</f>
        <v>misogyny, MDlb, degradation, gender traitor, noncon</v>
      </c>
    </row>
    <row r="106">
      <c r="A106" s="52">
        <f>IFERROR(__xludf.DUMMYFUNCTION("""COMPUTED_VALUE"""),670.0)</f>
        <v>670</v>
      </c>
      <c r="B106" s="51">
        <f>IFERROR(__xludf.DUMMYFUNCTION("""COMPUTED_VALUE"""),45544.0)</f>
        <v>45544</v>
      </c>
      <c r="C106" s="27" t="str">
        <f>IFERROR(__xludf.DUMMYFUNCTION("""COMPUTED_VALUE"""),"Mommy Takes Control of Beta")</f>
        <v>Mommy Takes Control of Beta</v>
      </c>
      <c r="D106" s="59" t="str">
        <f>IFERROR(__xludf.DUMMYFUNCTION("""COMPUTED_VALUE"""),"I've noticed and kept it a secret that I know how much your jerk off to porn. I tapped into your computer to keep a close eye on your habits. Today I noticed you haven't logged in and watched porn so I decide to call you on my lunch break and reveal every"&amp;"thing and encourage your addiction. To keep you ultimately controlled and dependent on me and porn, I show you how much of a beta pornosexual you are and should remain that way forever. ")</f>
        <v>I've noticed and kept it a secret that I know how much your jerk off to porn. I tapped into your computer to keep a close eye on your habits. Today I noticed you haven't logged in and watched porn so I decide to call you on my lunch break and reveal everything and encourage your addiction. To keep you ultimately controlled and dependent on me and porn, I show you how much of a beta pornosexual you are and should remain that way forever. </v>
      </c>
      <c r="E106" s="27" t="str">
        <f>IFERROR(__xludf.DUMMYFUNCTION("""COMPUTED_VALUE"""),"non ageplay, MDlb, incest, humiliation, beta humiliation, pornosexual, gooner, JOI, cum countdown")</f>
        <v>non ageplay, MDlb, incest, humiliation, beta humiliation, pornosexual, gooner, JOI, cum countdown</v>
      </c>
    </row>
    <row r="107">
      <c r="A107" s="52">
        <f>IFERROR(__xludf.DUMMYFUNCTION("""COMPUTED_VALUE"""),677.0)</f>
        <v>677</v>
      </c>
      <c r="B107" s="51">
        <f>IFERROR(__xludf.DUMMYFUNCTION("""COMPUTED_VALUE"""),45559.0)</f>
        <v>45559</v>
      </c>
      <c r="C107" s="27" t="str">
        <f>IFERROR(__xludf.DUMMYFUNCTION("""COMPUTED_VALUE"""),"Submissive Mommy Homework Lessons")</f>
        <v>Submissive Mommy Homework Lessons</v>
      </c>
      <c r="D107" s="59" t="str">
        <f>IFERROR(__xludf.DUMMYFUNCTION("""COMPUTED_VALUE"""),"A son slyly creates his own homework lessons for his mother to help him with that set him up for a completely submissive slut Mommy. ")</f>
        <v>A son slyly creates his own homework lessons for his mother to help him with that set him up for a completely submissive slut Mommy. </v>
      </c>
      <c r="E107" s="27" t="str">
        <f>IFERROR(__xludf.DUMMYFUNCTION("""COMPUTED_VALUE"""),"misogyny, MDlb, degradation, blow job sfx, breeding, face slapping, tit slapping")</f>
        <v>misogyny, MDlb, degradation, blow job sfx, breeding, face slapping, tit slapping</v>
      </c>
    </row>
    <row r="108">
      <c r="A108" s="52">
        <f>IFERROR(__xludf.DUMMYFUNCTION("""COMPUTED_VALUE"""),683.0)</f>
        <v>683</v>
      </c>
      <c r="B108" s="51">
        <f>IFERROR(__xludf.DUMMYFUNCTION("""COMPUTED_VALUE"""),45568.0)</f>
        <v>45568</v>
      </c>
      <c r="C108" s="27" t="str">
        <f>IFERROR(__xludf.DUMMYFUNCTION("""COMPUTED_VALUE"""),"Horny Mommy Grocery Shopping")</f>
        <v>Horny Mommy Grocery Shopping</v>
      </c>
      <c r="D108" s="59" t="str">
        <f>IFERROR(__xludf.DUMMYFUNCTION("""COMPUTED_VALUE"""),"Mommy takes you grocery shopping but she can't keep her hands off of you.")</f>
        <v>Mommy takes you grocery shopping but she can't keep her hands off of you.</v>
      </c>
      <c r="E108" s="27" t="str">
        <f>IFERROR(__xludf.DUMMYFUNCTION("""COMPUTED_VALUE"""),"MDlb, public sex, oral, sfx, creampie, consensual")</f>
        <v>MDlb, public sex, oral, sfx, creampie, consensual</v>
      </c>
    </row>
    <row r="109">
      <c r="A109" s="52"/>
      <c r="B109" s="52"/>
      <c r="C109" s="27"/>
      <c r="D109" s="59"/>
      <c r="E109" s="27"/>
    </row>
    <row r="110">
      <c r="A110" s="52"/>
      <c r="B110" s="52"/>
      <c r="C110" s="27"/>
      <c r="D110" s="59"/>
      <c r="E110" s="27"/>
    </row>
    <row r="111">
      <c r="A111" s="52"/>
      <c r="B111" s="52"/>
      <c r="C111" s="27"/>
      <c r="D111" s="59"/>
      <c r="E111" s="27"/>
    </row>
    <row r="112">
      <c r="A112" s="52"/>
      <c r="B112" s="52"/>
      <c r="C112" s="27"/>
      <c r="D112" s="59"/>
      <c r="E112" s="27"/>
    </row>
    <row r="113">
      <c r="A113" s="52"/>
      <c r="B113" s="52"/>
      <c r="C113" s="27"/>
      <c r="D113" s="59"/>
      <c r="E113" s="27"/>
    </row>
    <row r="114">
      <c r="A114" s="52"/>
      <c r="B114" s="52"/>
      <c r="C114" s="27"/>
      <c r="D114" s="59"/>
      <c r="E114" s="27"/>
    </row>
    <row r="115">
      <c r="A115" s="52"/>
      <c r="B115" s="52"/>
      <c r="C115" s="27"/>
      <c r="D115" s="59"/>
      <c r="E115" s="27"/>
    </row>
    <row r="116">
      <c r="A116" s="52"/>
      <c r="B116" s="52"/>
      <c r="C116" s="27"/>
      <c r="D116" s="59"/>
      <c r="E116" s="27"/>
    </row>
    <row r="117">
      <c r="A117" s="52"/>
      <c r="B117" s="52"/>
      <c r="C117" s="27"/>
      <c r="D117" s="59"/>
      <c r="E117" s="27"/>
    </row>
    <row r="118">
      <c r="A118" s="52"/>
      <c r="B118" s="52"/>
      <c r="C118" s="27"/>
      <c r="D118" s="59"/>
      <c r="E118" s="27"/>
    </row>
    <row r="119">
      <c r="A119" s="52"/>
      <c r="B119" s="52"/>
      <c r="C119" s="27"/>
      <c r="D119" s="59"/>
      <c r="E119" s="27"/>
    </row>
    <row r="120">
      <c r="A120" s="52"/>
      <c r="B120" s="52"/>
      <c r="C120" s="27"/>
      <c r="D120" s="59"/>
      <c r="E120" s="27"/>
    </row>
    <row r="121">
      <c r="A121" s="52"/>
      <c r="B121" s="52"/>
      <c r="C121" s="27"/>
      <c r="D121" s="59"/>
      <c r="E121" s="27"/>
    </row>
    <row r="122">
      <c r="A122" s="52"/>
      <c r="B122" s="52"/>
      <c r="C122" s="27"/>
      <c r="D122" s="59"/>
      <c r="E122" s="27"/>
    </row>
    <row r="123">
      <c r="A123" s="52"/>
      <c r="B123" s="52"/>
      <c r="C123" s="27"/>
      <c r="D123" s="59"/>
      <c r="E123" s="27"/>
    </row>
    <row r="124">
      <c r="A124" s="52"/>
      <c r="B124" s="52"/>
      <c r="C124" s="27"/>
      <c r="D124" s="59"/>
      <c r="E124" s="27"/>
    </row>
    <row r="125">
      <c r="A125" s="52"/>
      <c r="B125" s="52"/>
      <c r="C125" s="27"/>
      <c r="D125" s="59"/>
      <c r="E125" s="27"/>
    </row>
    <row r="126">
      <c r="A126" s="52"/>
      <c r="B126" s="52"/>
      <c r="C126" s="27"/>
      <c r="D126" s="59"/>
      <c r="E126" s="27"/>
    </row>
    <row r="127">
      <c r="A127" s="52"/>
      <c r="B127" s="52"/>
      <c r="C127" s="27"/>
      <c r="D127" s="59"/>
      <c r="E127" s="27"/>
    </row>
    <row r="128">
      <c r="A128" s="52"/>
      <c r="B128" s="52"/>
      <c r="C128" s="27"/>
      <c r="D128" s="59"/>
      <c r="E128" s="27"/>
    </row>
    <row r="129">
      <c r="A129" s="52"/>
      <c r="B129" s="52"/>
      <c r="C129" s="27"/>
      <c r="D129" s="59"/>
      <c r="E129" s="27"/>
    </row>
    <row r="130">
      <c r="A130" s="52"/>
      <c r="B130" s="52"/>
      <c r="C130" s="27"/>
      <c r="D130" s="59"/>
      <c r="E130" s="27"/>
    </row>
    <row r="131">
      <c r="A131" s="52"/>
      <c r="B131" s="52"/>
      <c r="C131" s="27"/>
      <c r="D131" s="59"/>
      <c r="E131" s="27"/>
    </row>
    <row r="132">
      <c r="A132" s="52"/>
      <c r="B132" s="52"/>
      <c r="C132" s="27"/>
      <c r="D132" s="59"/>
      <c r="E132" s="27"/>
    </row>
    <row r="133">
      <c r="A133" s="52"/>
      <c r="B133" s="52"/>
      <c r="C133" s="27"/>
      <c r="D133" s="59"/>
      <c r="E133" s="27"/>
    </row>
    <row r="134">
      <c r="A134" s="52"/>
      <c r="B134" s="52"/>
      <c r="C134" s="27"/>
      <c r="D134" s="59"/>
      <c r="E134" s="27"/>
    </row>
    <row r="135">
      <c r="A135" s="52"/>
      <c r="B135" s="52"/>
      <c r="C135" s="27"/>
      <c r="D135" s="59"/>
      <c r="E135" s="27"/>
    </row>
    <row r="136">
      <c r="A136" s="52"/>
      <c r="B136" s="52"/>
      <c r="C136" s="27"/>
      <c r="D136" s="59"/>
      <c r="E136" s="27"/>
    </row>
    <row r="137">
      <c r="A137" s="52"/>
      <c r="B137" s="52"/>
      <c r="C137" s="27"/>
      <c r="D137" s="59"/>
      <c r="E137" s="27"/>
    </row>
    <row r="138">
      <c r="A138" s="52"/>
      <c r="B138" s="52"/>
      <c r="C138" s="27"/>
      <c r="D138" s="59"/>
      <c r="E138" s="27"/>
    </row>
    <row r="139">
      <c r="A139" s="52"/>
      <c r="B139" s="52"/>
      <c r="C139" s="27"/>
      <c r="D139" s="59"/>
      <c r="E139" s="27"/>
    </row>
    <row r="140">
      <c r="A140" s="52"/>
      <c r="B140" s="52"/>
      <c r="C140" s="27"/>
      <c r="D140" s="59"/>
      <c r="E140" s="27"/>
    </row>
    <row r="141">
      <c r="A141" s="52"/>
      <c r="B141" s="52"/>
      <c r="C141" s="27"/>
      <c r="D141" s="59"/>
      <c r="E141" s="27"/>
    </row>
    <row r="142">
      <c r="A142" s="52"/>
      <c r="B142" s="52"/>
      <c r="C142" s="27"/>
      <c r="D142" s="59"/>
      <c r="E142" s="27"/>
    </row>
    <row r="143">
      <c r="A143" s="52"/>
      <c r="B143" s="52"/>
      <c r="C143" s="27"/>
      <c r="D143" s="59"/>
      <c r="E143" s="27"/>
    </row>
    <row r="144">
      <c r="A144" s="52"/>
      <c r="B144" s="52"/>
      <c r="C144" s="27"/>
      <c r="D144" s="59"/>
      <c r="E144" s="27"/>
    </row>
    <row r="145">
      <c r="A145" s="52"/>
      <c r="B145" s="52"/>
      <c r="C145" s="27"/>
      <c r="D145" s="59"/>
      <c r="E145" s="27"/>
    </row>
    <row r="146">
      <c r="A146" s="52"/>
      <c r="B146" s="52"/>
      <c r="C146" s="27"/>
      <c r="D146" s="59"/>
      <c r="E146" s="27"/>
    </row>
    <row r="147">
      <c r="A147" s="52"/>
      <c r="B147" s="52"/>
      <c r="C147" s="27"/>
      <c r="D147" s="59"/>
      <c r="E147" s="27"/>
    </row>
    <row r="148">
      <c r="A148" s="52"/>
      <c r="B148" s="52"/>
      <c r="C148" s="27"/>
      <c r="D148" s="59"/>
      <c r="E148" s="27"/>
    </row>
    <row r="149">
      <c r="A149" s="52"/>
      <c r="B149" s="52"/>
      <c r="C149" s="27"/>
      <c r="D149" s="59"/>
      <c r="E149" s="27"/>
    </row>
    <row r="150">
      <c r="A150" s="52"/>
      <c r="B150" s="52"/>
      <c r="C150" s="27"/>
      <c r="D150" s="59"/>
      <c r="E150" s="27"/>
    </row>
    <row r="151">
      <c r="A151" s="52"/>
      <c r="B151" s="52"/>
      <c r="C151" s="27"/>
      <c r="D151" s="59"/>
      <c r="E151" s="27"/>
    </row>
    <row r="152">
      <c r="A152" s="52"/>
      <c r="B152" s="52"/>
      <c r="C152" s="27"/>
      <c r="D152" s="59"/>
      <c r="E152" s="27"/>
    </row>
    <row r="153">
      <c r="A153" s="52"/>
      <c r="B153" s="52"/>
      <c r="C153" s="27"/>
      <c r="D153" s="59"/>
      <c r="E153" s="27"/>
    </row>
    <row r="154">
      <c r="A154" s="52"/>
      <c r="B154" s="52"/>
      <c r="C154" s="27"/>
      <c r="D154" s="59"/>
      <c r="E154" s="27"/>
    </row>
    <row r="155">
      <c r="A155" s="52"/>
      <c r="B155" s="52"/>
      <c r="C155" s="27"/>
      <c r="D155" s="59"/>
      <c r="E155" s="27"/>
    </row>
    <row r="156">
      <c r="A156" s="52"/>
      <c r="B156" s="52"/>
      <c r="C156" s="27"/>
      <c r="D156" s="59"/>
      <c r="E156" s="27"/>
    </row>
    <row r="157">
      <c r="A157" s="52"/>
      <c r="B157" s="52"/>
      <c r="C157" s="27"/>
      <c r="D157" s="59"/>
      <c r="E157" s="27"/>
    </row>
    <row r="158">
      <c r="A158" s="52"/>
      <c r="B158" s="52"/>
      <c r="C158" s="27"/>
      <c r="D158" s="59"/>
      <c r="E158" s="27"/>
    </row>
    <row r="159">
      <c r="A159" s="52"/>
      <c r="B159" s="52"/>
      <c r="C159" s="27"/>
      <c r="D159" s="59"/>
      <c r="E159" s="27"/>
    </row>
    <row r="160">
      <c r="A160" s="52"/>
      <c r="B160" s="52"/>
      <c r="C160" s="27"/>
      <c r="D160" s="59"/>
      <c r="E160" s="27"/>
    </row>
    <row r="161">
      <c r="A161" s="52"/>
      <c r="B161" s="52"/>
      <c r="C161" s="27"/>
      <c r="D161" s="59"/>
      <c r="E161" s="27"/>
    </row>
    <row r="162">
      <c r="A162" s="52"/>
      <c r="B162" s="52"/>
      <c r="C162" s="27"/>
      <c r="D162" s="59"/>
      <c r="E162" s="27"/>
    </row>
    <row r="163">
      <c r="A163" s="52"/>
      <c r="B163" s="52"/>
      <c r="C163" s="27"/>
      <c r="D163" s="59"/>
      <c r="E163" s="27"/>
    </row>
    <row r="164">
      <c r="A164" s="52"/>
      <c r="B164" s="52"/>
      <c r="C164" s="27"/>
      <c r="D164" s="59"/>
      <c r="E164" s="27"/>
    </row>
    <row r="165">
      <c r="A165" s="52"/>
      <c r="B165" s="52"/>
      <c r="C165" s="27"/>
      <c r="D165" s="59"/>
      <c r="E165" s="27"/>
    </row>
    <row r="166">
      <c r="A166" s="52"/>
      <c r="B166" s="52"/>
      <c r="C166" s="27"/>
      <c r="D166" s="59"/>
      <c r="E166" s="27"/>
    </row>
    <row r="167">
      <c r="A167" s="52"/>
      <c r="B167" s="52"/>
      <c r="C167" s="27"/>
      <c r="D167" s="59"/>
      <c r="E167" s="27"/>
    </row>
    <row r="168">
      <c r="A168" s="52"/>
      <c r="B168" s="52"/>
      <c r="C168" s="27"/>
      <c r="D168" s="59"/>
      <c r="E168" s="27"/>
    </row>
    <row r="169">
      <c r="A169" s="52"/>
      <c r="B169" s="52"/>
      <c r="C169" s="27"/>
      <c r="D169" s="59"/>
      <c r="E169" s="27"/>
    </row>
    <row r="170">
      <c r="A170" s="52"/>
      <c r="B170" s="52"/>
      <c r="C170" s="27"/>
      <c r="D170" s="59"/>
      <c r="E170" s="27"/>
    </row>
    <row r="171">
      <c r="A171" s="52"/>
      <c r="B171" s="52"/>
      <c r="C171" s="27"/>
      <c r="D171" s="59"/>
      <c r="E171" s="27"/>
    </row>
    <row r="172">
      <c r="A172" s="52"/>
      <c r="B172" s="52"/>
      <c r="C172" s="27"/>
      <c r="D172" s="59"/>
      <c r="E172" s="27"/>
    </row>
    <row r="173">
      <c r="A173" s="52"/>
      <c r="B173" s="52"/>
      <c r="C173" s="27"/>
      <c r="D173" s="59"/>
      <c r="E173" s="27"/>
    </row>
    <row r="174">
      <c r="A174" s="52"/>
      <c r="B174" s="52"/>
      <c r="C174" s="27"/>
      <c r="D174" s="59"/>
      <c r="E174" s="27"/>
    </row>
    <row r="175">
      <c r="A175" s="52"/>
      <c r="B175" s="52"/>
      <c r="C175" s="27"/>
      <c r="D175" s="59"/>
      <c r="E175" s="27"/>
    </row>
    <row r="176">
      <c r="A176" s="52"/>
      <c r="B176" s="52"/>
      <c r="C176" s="27"/>
      <c r="D176" s="59"/>
      <c r="E176" s="27"/>
    </row>
    <row r="177">
      <c r="A177" s="52"/>
      <c r="B177" s="52"/>
      <c r="C177" s="27"/>
      <c r="D177" s="59"/>
      <c r="E177" s="27"/>
    </row>
    <row r="178">
      <c r="A178" s="52"/>
      <c r="B178" s="52"/>
      <c r="C178" s="27"/>
      <c r="D178" s="59"/>
      <c r="E178" s="27"/>
    </row>
    <row r="179">
      <c r="A179" s="52"/>
      <c r="B179" s="52"/>
      <c r="C179" s="27"/>
      <c r="D179" s="59"/>
      <c r="E179" s="27"/>
    </row>
    <row r="180">
      <c r="A180" s="52"/>
      <c r="B180" s="52"/>
      <c r="C180" s="27"/>
      <c r="D180" s="59"/>
      <c r="E180" s="27"/>
    </row>
    <row r="181">
      <c r="A181" s="52"/>
      <c r="B181" s="52"/>
      <c r="C181" s="27"/>
      <c r="D181" s="59"/>
      <c r="E181" s="27"/>
    </row>
    <row r="182">
      <c r="A182" s="52"/>
      <c r="B182" s="52"/>
      <c r="C182" s="27"/>
      <c r="D182" s="59"/>
      <c r="E182" s="27"/>
    </row>
    <row r="183">
      <c r="A183" s="52"/>
      <c r="B183" s="52"/>
      <c r="C183" s="27"/>
      <c r="D183" s="59"/>
      <c r="E183" s="27"/>
    </row>
    <row r="184">
      <c r="A184" s="52"/>
      <c r="B184" s="52"/>
      <c r="C184" s="27"/>
      <c r="D184" s="59"/>
      <c r="E184" s="27"/>
    </row>
    <row r="185">
      <c r="A185" s="52"/>
      <c r="B185" s="52"/>
      <c r="C185" s="27"/>
      <c r="D185" s="59"/>
      <c r="E185" s="27"/>
    </row>
    <row r="186">
      <c r="A186" s="52"/>
      <c r="B186" s="52"/>
      <c r="C186" s="27"/>
      <c r="D186" s="59"/>
      <c r="E186" s="27"/>
    </row>
    <row r="187">
      <c r="A187" s="52"/>
      <c r="B187" s="52"/>
      <c r="C187" s="27"/>
      <c r="D187" s="59"/>
      <c r="E187" s="27"/>
    </row>
    <row r="188">
      <c r="A188" s="52"/>
      <c r="B188" s="52"/>
      <c r="C188" s="27"/>
      <c r="D188" s="59"/>
      <c r="E188" s="27"/>
    </row>
    <row r="189">
      <c r="A189" s="52"/>
      <c r="B189" s="52"/>
      <c r="C189" s="27"/>
      <c r="D189" s="59"/>
      <c r="E189" s="27"/>
    </row>
    <row r="190">
      <c r="A190" s="52"/>
      <c r="B190" s="52"/>
      <c r="C190" s="27"/>
      <c r="D190" s="59"/>
      <c r="E190" s="27"/>
    </row>
    <row r="191">
      <c r="A191" s="52"/>
      <c r="B191" s="52"/>
      <c r="C191" s="27"/>
      <c r="D191" s="59"/>
      <c r="E191" s="27"/>
    </row>
    <row r="192">
      <c r="A192" s="52"/>
      <c r="B192" s="52"/>
      <c r="C192" s="27"/>
      <c r="D192" s="59"/>
      <c r="E192" s="27"/>
    </row>
    <row r="193">
      <c r="A193" s="52"/>
      <c r="B193" s="52"/>
      <c r="C193" s="27"/>
      <c r="D193" s="59"/>
      <c r="E193" s="27"/>
    </row>
    <row r="194">
      <c r="A194" s="52"/>
      <c r="B194" s="52"/>
      <c r="C194" s="27"/>
      <c r="D194" s="59"/>
      <c r="E194" s="27"/>
    </row>
    <row r="195">
      <c r="A195" s="52"/>
      <c r="B195" s="52"/>
      <c r="C195" s="27"/>
      <c r="D195" s="59"/>
      <c r="E195" s="27"/>
    </row>
    <row r="196">
      <c r="A196" s="52"/>
      <c r="B196" s="52"/>
      <c r="C196" s="27"/>
      <c r="D196" s="59"/>
      <c r="E196" s="27"/>
    </row>
    <row r="197">
      <c r="A197" s="52"/>
      <c r="B197" s="52"/>
      <c r="C197" s="27"/>
      <c r="D197" s="59"/>
      <c r="E197" s="27"/>
    </row>
    <row r="198">
      <c r="A198" s="52"/>
      <c r="B198" s="52"/>
      <c r="C198" s="27"/>
      <c r="D198" s="59"/>
      <c r="E198" s="27"/>
    </row>
    <row r="199">
      <c r="A199" s="52"/>
      <c r="B199" s="52"/>
      <c r="C199" s="27"/>
      <c r="D199" s="59"/>
      <c r="E199" s="27"/>
    </row>
    <row r="200">
      <c r="A200" s="52"/>
      <c r="B200" s="52"/>
      <c r="C200" s="27"/>
      <c r="D200" s="59"/>
      <c r="E200" s="27"/>
    </row>
    <row r="201">
      <c r="A201" s="52"/>
      <c r="B201" s="52"/>
      <c r="C201" s="27"/>
      <c r="D201" s="59"/>
      <c r="E201" s="27"/>
    </row>
    <row r="202">
      <c r="A202" s="52"/>
      <c r="B202" s="52"/>
      <c r="C202" s="27"/>
      <c r="D202" s="59"/>
      <c r="E202" s="27"/>
    </row>
    <row r="203">
      <c r="A203" s="52"/>
      <c r="B203" s="52"/>
      <c r="C203" s="27"/>
      <c r="D203" s="59"/>
      <c r="E203" s="27"/>
    </row>
    <row r="204">
      <c r="A204" s="52"/>
      <c r="B204" s="52"/>
      <c r="C204" s="27"/>
      <c r="D204" s="59"/>
      <c r="E204" s="27"/>
    </row>
    <row r="205">
      <c r="A205" s="52"/>
      <c r="B205" s="52"/>
      <c r="C205" s="27"/>
      <c r="D205" s="59"/>
      <c r="E205" s="27"/>
    </row>
    <row r="206">
      <c r="A206" s="52"/>
      <c r="B206" s="52"/>
      <c r="C206" s="27"/>
      <c r="D206" s="59"/>
      <c r="E206" s="27"/>
    </row>
    <row r="207">
      <c r="A207" s="52"/>
      <c r="B207" s="52"/>
      <c r="C207" s="27"/>
      <c r="D207" s="59"/>
      <c r="E207" s="27"/>
    </row>
    <row r="208">
      <c r="A208" s="52"/>
      <c r="B208" s="52"/>
      <c r="C208" s="27"/>
      <c r="D208" s="59"/>
      <c r="E208" s="27"/>
    </row>
    <row r="209">
      <c r="A209" s="52"/>
      <c r="B209" s="52"/>
      <c r="C209" s="27"/>
      <c r="D209" s="59"/>
      <c r="E209" s="27"/>
    </row>
    <row r="210">
      <c r="A210" s="52"/>
      <c r="B210" s="52"/>
      <c r="C210" s="27"/>
      <c r="D210" s="59"/>
      <c r="E210" s="27"/>
    </row>
    <row r="211">
      <c r="A211" s="52"/>
      <c r="B211" s="52"/>
      <c r="C211" s="27"/>
      <c r="D211" s="59"/>
      <c r="E211" s="27"/>
    </row>
    <row r="212">
      <c r="A212" s="52"/>
      <c r="B212" s="52"/>
      <c r="C212" s="27"/>
      <c r="D212" s="59"/>
      <c r="E212" s="27"/>
    </row>
    <row r="213">
      <c r="A213" s="52"/>
      <c r="B213" s="52"/>
      <c r="C213" s="27"/>
      <c r="D213" s="59"/>
      <c r="E213" s="27"/>
    </row>
    <row r="214">
      <c r="A214" s="52"/>
      <c r="B214" s="52"/>
      <c r="C214" s="27"/>
      <c r="D214" s="59"/>
      <c r="E214" s="27"/>
    </row>
    <row r="215">
      <c r="A215" s="52"/>
      <c r="B215" s="52"/>
      <c r="C215" s="27"/>
      <c r="D215" s="59"/>
      <c r="E215" s="27"/>
    </row>
    <row r="216">
      <c r="A216" s="52"/>
      <c r="B216" s="52"/>
      <c r="C216" s="27"/>
      <c r="D216" s="59"/>
      <c r="E216" s="27"/>
    </row>
    <row r="217">
      <c r="A217" s="52"/>
      <c r="B217" s="52"/>
      <c r="C217" s="27"/>
      <c r="D217" s="59"/>
      <c r="E217" s="27"/>
    </row>
    <row r="218">
      <c r="A218" s="52"/>
      <c r="B218" s="52"/>
      <c r="C218" s="27"/>
      <c r="D218" s="59"/>
      <c r="E218" s="27"/>
    </row>
    <row r="219">
      <c r="A219" s="52"/>
      <c r="B219" s="52"/>
      <c r="C219" s="27"/>
      <c r="D219" s="59"/>
      <c r="E219" s="27"/>
    </row>
    <row r="220">
      <c r="A220" s="52"/>
      <c r="B220" s="52"/>
      <c r="C220" s="27"/>
      <c r="D220" s="59"/>
      <c r="E220" s="27"/>
    </row>
    <row r="221">
      <c r="A221" s="52"/>
      <c r="B221" s="52"/>
      <c r="C221" s="27"/>
      <c r="D221" s="59"/>
      <c r="E221" s="27"/>
    </row>
    <row r="222">
      <c r="A222" s="52"/>
      <c r="B222" s="52"/>
      <c r="C222" s="27"/>
      <c r="D222" s="59"/>
      <c r="E222" s="27"/>
    </row>
    <row r="223">
      <c r="A223" s="52"/>
      <c r="B223" s="52"/>
      <c r="C223" s="27"/>
      <c r="D223" s="59"/>
      <c r="E223" s="27"/>
    </row>
    <row r="224">
      <c r="A224" s="52"/>
      <c r="B224" s="52"/>
      <c r="C224" s="27"/>
      <c r="D224" s="59"/>
      <c r="E224" s="27"/>
    </row>
    <row r="225">
      <c r="A225" s="52"/>
      <c r="B225" s="52"/>
      <c r="C225" s="27"/>
      <c r="D225" s="59"/>
      <c r="E225" s="27"/>
    </row>
    <row r="226">
      <c r="A226" s="52"/>
      <c r="B226" s="52"/>
      <c r="C226" s="27"/>
      <c r="D226" s="59"/>
      <c r="E226" s="27"/>
    </row>
    <row r="227">
      <c r="A227" s="52"/>
      <c r="B227" s="52"/>
      <c r="C227" s="27"/>
      <c r="D227" s="59"/>
      <c r="E227" s="27"/>
    </row>
    <row r="228">
      <c r="A228" s="52"/>
      <c r="B228" s="52"/>
      <c r="C228" s="27"/>
      <c r="D228" s="59"/>
      <c r="E228" s="27"/>
    </row>
    <row r="229">
      <c r="A229" s="52"/>
      <c r="B229" s="52"/>
      <c r="C229" s="27"/>
      <c r="D229" s="59"/>
      <c r="E229" s="27"/>
    </row>
    <row r="230">
      <c r="A230" s="52"/>
      <c r="B230" s="52"/>
      <c r="C230" s="27"/>
      <c r="D230" s="59"/>
      <c r="E230" s="27"/>
    </row>
    <row r="231">
      <c r="A231" s="52"/>
      <c r="B231" s="52"/>
      <c r="C231" s="27"/>
      <c r="D231" s="59"/>
      <c r="E231" s="27"/>
    </row>
    <row r="232">
      <c r="A232" s="52"/>
      <c r="B232" s="52"/>
      <c r="C232" s="27"/>
      <c r="D232" s="59"/>
      <c r="E232" s="27"/>
    </row>
    <row r="233">
      <c r="A233" s="52"/>
      <c r="B233" s="52"/>
      <c r="C233" s="27"/>
      <c r="D233" s="59"/>
      <c r="E233" s="27"/>
    </row>
    <row r="234">
      <c r="A234" s="52"/>
      <c r="B234" s="52"/>
      <c r="C234" s="27"/>
      <c r="D234" s="59"/>
      <c r="E234" s="27"/>
    </row>
    <row r="235">
      <c r="A235" s="52"/>
      <c r="B235" s="52"/>
      <c r="C235" s="27"/>
      <c r="D235" s="59"/>
      <c r="E235" s="27"/>
    </row>
    <row r="236">
      <c r="A236" s="52"/>
      <c r="B236" s="52"/>
      <c r="C236" s="27"/>
      <c r="D236" s="59"/>
      <c r="E236" s="27"/>
    </row>
    <row r="237">
      <c r="A237" s="52"/>
      <c r="B237" s="52"/>
      <c r="C237" s="27"/>
      <c r="D237" s="59"/>
      <c r="E237" s="27"/>
    </row>
    <row r="238">
      <c r="A238" s="52"/>
      <c r="B238" s="52"/>
      <c r="C238" s="27"/>
      <c r="D238" s="59"/>
      <c r="E238" s="27"/>
    </row>
    <row r="239">
      <c r="A239" s="52"/>
      <c r="B239" s="52"/>
      <c r="C239" s="27"/>
      <c r="D239" s="59"/>
      <c r="E239" s="27"/>
    </row>
    <row r="240">
      <c r="A240" s="52"/>
      <c r="B240" s="52"/>
      <c r="C240" s="27"/>
      <c r="D240" s="59"/>
      <c r="E240" s="27"/>
    </row>
    <row r="241">
      <c r="A241" s="52"/>
      <c r="B241" s="52"/>
      <c r="C241" s="27"/>
      <c r="D241" s="59"/>
      <c r="E241" s="27"/>
    </row>
    <row r="242">
      <c r="A242" s="52"/>
      <c r="B242" s="52"/>
      <c r="C242" s="27"/>
      <c r="D242" s="59"/>
      <c r="E242" s="27"/>
    </row>
    <row r="243">
      <c r="A243" s="52"/>
      <c r="B243" s="52"/>
      <c r="C243" s="27"/>
      <c r="D243" s="59"/>
      <c r="E243" s="27"/>
    </row>
    <row r="244">
      <c r="A244" s="52"/>
      <c r="B244" s="52"/>
      <c r="C244" s="27"/>
      <c r="D244" s="59"/>
      <c r="E244" s="27"/>
    </row>
    <row r="245">
      <c r="A245" s="52"/>
      <c r="B245" s="52"/>
      <c r="C245" s="27"/>
      <c r="D245" s="59"/>
      <c r="E245" s="27"/>
    </row>
    <row r="246">
      <c r="A246" s="52"/>
      <c r="B246" s="52"/>
      <c r="C246" s="27"/>
      <c r="D246" s="59"/>
      <c r="E246" s="27"/>
    </row>
    <row r="247">
      <c r="A247" s="52"/>
      <c r="B247" s="52"/>
      <c r="C247" s="27"/>
      <c r="D247" s="59"/>
      <c r="E247" s="27"/>
    </row>
    <row r="248">
      <c r="A248" s="52"/>
      <c r="B248" s="52"/>
      <c r="C248" s="27"/>
      <c r="D248" s="59"/>
      <c r="E248" s="27"/>
    </row>
    <row r="249">
      <c r="A249" s="52"/>
      <c r="B249" s="52"/>
      <c r="C249" s="27"/>
      <c r="D249" s="59"/>
      <c r="E249" s="27"/>
    </row>
    <row r="250">
      <c r="A250" s="52"/>
      <c r="B250" s="52"/>
      <c r="C250" s="27"/>
      <c r="D250" s="59"/>
      <c r="E250" s="27"/>
    </row>
    <row r="251">
      <c r="A251" s="52"/>
      <c r="B251" s="52"/>
      <c r="C251" s="27"/>
      <c r="D251" s="59"/>
      <c r="E251" s="27"/>
    </row>
    <row r="252">
      <c r="A252" s="52"/>
      <c r="B252" s="52"/>
      <c r="C252" s="27"/>
      <c r="D252" s="59"/>
      <c r="E252" s="27"/>
    </row>
    <row r="253">
      <c r="A253" s="52"/>
      <c r="B253" s="52"/>
      <c r="C253" s="27"/>
      <c r="D253" s="59"/>
      <c r="E253" s="27"/>
    </row>
    <row r="254">
      <c r="A254" s="52"/>
      <c r="B254" s="52"/>
      <c r="C254" s="27"/>
      <c r="D254" s="59"/>
      <c r="E254" s="27"/>
    </row>
    <row r="255">
      <c r="A255" s="52"/>
      <c r="B255" s="52"/>
      <c r="C255" s="27"/>
      <c r="D255" s="59"/>
      <c r="E255" s="27"/>
    </row>
    <row r="256">
      <c r="A256" s="52"/>
      <c r="B256" s="52"/>
      <c r="C256" s="27"/>
      <c r="D256" s="59"/>
      <c r="E256" s="27"/>
    </row>
    <row r="257">
      <c r="A257" s="52"/>
      <c r="B257" s="52"/>
      <c r="C257" s="27"/>
      <c r="D257" s="59"/>
      <c r="E257" s="27"/>
    </row>
    <row r="258">
      <c r="A258" s="52"/>
      <c r="B258" s="52"/>
      <c r="C258" s="27"/>
      <c r="D258" s="59"/>
      <c r="E258" s="27"/>
    </row>
    <row r="259">
      <c r="A259" s="52"/>
      <c r="B259" s="52"/>
      <c r="C259" s="27"/>
      <c r="D259" s="59"/>
      <c r="E259" s="27"/>
    </row>
    <row r="260">
      <c r="A260" s="52"/>
      <c r="B260" s="52"/>
      <c r="C260" s="27"/>
      <c r="D260" s="59"/>
      <c r="E260" s="27"/>
    </row>
    <row r="261">
      <c r="A261" s="52"/>
      <c r="B261" s="52"/>
      <c r="C261" s="27"/>
      <c r="D261" s="59"/>
      <c r="E261" s="27"/>
    </row>
    <row r="262">
      <c r="A262" s="52"/>
      <c r="B262" s="52"/>
      <c r="C262" s="27"/>
      <c r="D262" s="59"/>
      <c r="E262" s="27"/>
    </row>
    <row r="263">
      <c r="A263" s="52"/>
      <c r="B263" s="52"/>
      <c r="C263" s="27"/>
      <c r="D263" s="59"/>
      <c r="E263" s="27"/>
    </row>
    <row r="264">
      <c r="A264" s="52"/>
      <c r="B264" s="52"/>
      <c r="C264" s="27"/>
      <c r="D264" s="59"/>
      <c r="E264" s="27"/>
    </row>
    <row r="265">
      <c r="A265" s="52"/>
      <c r="B265" s="52"/>
      <c r="C265" s="27"/>
      <c r="D265" s="59"/>
      <c r="E265" s="27"/>
    </row>
    <row r="266">
      <c r="A266" s="52"/>
      <c r="B266" s="52"/>
      <c r="C266" s="27"/>
      <c r="D266" s="59"/>
      <c r="E266" s="27"/>
    </row>
    <row r="267">
      <c r="A267" s="52"/>
      <c r="B267" s="52"/>
      <c r="C267" s="27"/>
      <c r="D267" s="59"/>
      <c r="E267" s="27"/>
    </row>
    <row r="268">
      <c r="A268" s="52"/>
      <c r="B268" s="52"/>
      <c r="C268" s="27"/>
      <c r="D268" s="59"/>
      <c r="E268" s="27"/>
    </row>
    <row r="269">
      <c r="A269" s="52"/>
      <c r="B269" s="52"/>
      <c r="C269" s="27"/>
      <c r="D269" s="59"/>
      <c r="E269" s="27"/>
    </row>
    <row r="270">
      <c r="A270" s="52"/>
      <c r="B270" s="52"/>
      <c r="C270" s="27"/>
      <c r="D270" s="59"/>
      <c r="E270" s="27"/>
    </row>
    <row r="271">
      <c r="A271" s="52"/>
      <c r="B271" s="52"/>
      <c r="C271" s="27"/>
      <c r="D271" s="59"/>
      <c r="E271" s="27"/>
    </row>
    <row r="272">
      <c r="A272" s="52"/>
      <c r="B272" s="52"/>
      <c r="C272" s="27"/>
      <c r="D272" s="59"/>
      <c r="E272" s="27"/>
    </row>
    <row r="273">
      <c r="A273" s="52"/>
      <c r="B273" s="52"/>
      <c r="C273" s="27"/>
      <c r="D273" s="59"/>
      <c r="E273" s="27"/>
    </row>
    <row r="274">
      <c r="A274" s="52"/>
      <c r="B274" s="52"/>
      <c r="C274" s="27"/>
      <c r="D274" s="59"/>
      <c r="E274" s="27"/>
    </row>
    <row r="275">
      <c r="A275" s="52"/>
      <c r="B275" s="52"/>
      <c r="C275" s="27"/>
      <c r="D275" s="59"/>
      <c r="E275" s="27"/>
    </row>
    <row r="276">
      <c r="A276" s="52"/>
      <c r="B276" s="52"/>
      <c r="C276" s="27"/>
      <c r="D276" s="59"/>
      <c r="E276" s="27"/>
    </row>
    <row r="277">
      <c r="A277" s="52"/>
      <c r="B277" s="52"/>
      <c r="C277" s="27"/>
      <c r="D277" s="59"/>
      <c r="E277" s="27"/>
    </row>
    <row r="278">
      <c r="A278" s="52"/>
      <c r="B278" s="52"/>
      <c r="C278" s="27"/>
      <c r="D278" s="59"/>
      <c r="E278" s="27"/>
    </row>
    <row r="279">
      <c r="A279" s="52"/>
      <c r="B279" s="52"/>
      <c r="C279" s="27"/>
      <c r="D279" s="59"/>
      <c r="E279" s="27"/>
    </row>
    <row r="280">
      <c r="A280" s="52"/>
      <c r="B280" s="52"/>
      <c r="C280" s="27"/>
      <c r="D280" s="59"/>
      <c r="E280" s="27"/>
    </row>
    <row r="281">
      <c r="A281" s="52"/>
      <c r="B281" s="52"/>
      <c r="C281" s="27"/>
      <c r="D281" s="59"/>
      <c r="E281" s="27"/>
    </row>
    <row r="282">
      <c r="A282" s="52"/>
      <c r="B282" s="52"/>
      <c r="C282" s="27"/>
      <c r="D282" s="59"/>
      <c r="E282" s="27"/>
    </row>
    <row r="283">
      <c r="A283" s="52"/>
      <c r="B283" s="52"/>
      <c r="C283" s="27"/>
      <c r="D283" s="59"/>
      <c r="E283" s="27"/>
    </row>
    <row r="284">
      <c r="A284" s="52"/>
      <c r="B284" s="52"/>
      <c r="C284" s="27"/>
      <c r="D284" s="59"/>
      <c r="E284" s="27"/>
    </row>
    <row r="285">
      <c r="A285" s="52"/>
      <c r="B285" s="52"/>
      <c r="C285" s="27"/>
      <c r="D285" s="59"/>
      <c r="E285" s="27"/>
    </row>
    <row r="286">
      <c r="A286" s="52"/>
      <c r="B286" s="52"/>
      <c r="C286" s="27"/>
      <c r="D286" s="59"/>
      <c r="E286" s="27"/>
    </row>
    <row r="287">
      <c r="A287" s="52"/>
      <c r="B287" s="52"/>
      <c r="C287" s="27"/>
      <c r="D287" s="59"/>
      <c r="E287" s="27"/>
    </row>
    <row r="288">
      <c r="A288" s="52"/>
      <c r="B288" s="52"/>
      <c r="C288" s="27"/>
      <c r="D288" s="59"/>
      <c r="E288" s="27"/>
    </row>
    <row r="289">
      <c r="A289" s="52"/>
      <c r="B289" s="52"/>
      <c r="C289" s="27"/>
      <c r="D289" s="59"/>
      <c r="E289" s="27"/>
    </row>
    <row r="290">
      <c r="A290" s="52"/>
      <c r="B290" s="52"/>
      <c r="C290" s="27"/>
      <c r="D290" s="59"/>
      <c r="E290" s="27"/>
    </row>
    <row r="291">
      <c r="A291" s="52"/>
      <c r="B291" s="52"/>
      <c r="C291" s="27"/>
      <c r="D291" s="59"/>
      <c r="E291" s="27"/>
    </row>
    <row r="292">
      <c r="A292" s="52"/>
      <c r="B292" s="52"/>
      <c r="C292" s="27"/>
      <c r="D292" s="59"/>
      <c r="E292" s="27"/>
    </row>
    <row r="293">
      <c r="A293" s="52"/>
      <c r="B293" s="52"/>
      <c r="C293" s="27"/>
      <c r="D293" s="59"/>
      <c r="E293" s="27"/>
    </row>
    <row r="294">
      <c r="A294" s="52"/>
      <c r="B294" s="52"/>
      <c r="C294" s="27"/>
      <c r="D294" s="59"/>
      <c r="E294" s="27"/>
    </row>
    <row r="295">
      <c r="A295" s="52"/>
      <c r="B295" s="52"/>
      <c r="C295" s="27"/>
      <c r="D295" s="59"/>
      <c r="E295" s="27"/>
    </row>
    <row r="296">
      <c r="A296" s="52"/>
      <c r="B296" s="52"/>
      <c r="C296" s="27"/>
      <c r="D296" s="59"/>
      <c r="E296" s="27"/>
    </row>
    <row r="297">
      <c r="A297" s="52"/>
      <c r="B297" s="52"/>
      <c r="C297" s="27"/>
      <c r="D297" s="59"/>
      <c r="E297" s="27"/>
    </row>
    <row r="298">
      <c r="A298" s="52"/>
      <c r="B298" s="52"/>
      <c r="C298" s="27"/>
      <c r="D298" s="59"/>
      <c r="E298" s="27"/>
    </row>
    <row r="299">
      <c r="A299" s="52"/>
      <c r="B299" s="52"/>
      <c r="C299" s="27"/>
      <c r="D299" s="59"/>
      <c r="E299" s="27"/>
    </row>
    <row r="300">
      <c r="A300" s="52"/>
      <c r="B300" s="52"/>
      <c r="C300" s="27"/>
      <c r="D300" s="59"/>
      <c r="E300" s="27"/>
    </row>
    <row r="301">
      <c r="A301" s="52"/>
      <c r="B301" s="52"/>
      <c r="C301" s="27"/>
      <c r="D301" s="59"/>
      <c r="E301" s="27"/>
    </row>
    <row r="302">
      <c r="A302" s="52"/>
      <c r="B302" s="52"/>
      <c r="C302" s="27"/>
      <c r="D302" s="59"/>
      <c r="E302" s="27"/>
    </row>
    <row r="303">
      <c r="A303" s="52"/>
      <c r="B303" s="52"/>
      <c r="C303" s="27"/>
      <c r="D303" s="59"/>
      <c r="E303" s="27"/>
    </row>
    <row r="304">
      <c r="A304" s="52"/>
      <c r="B304" s="52"/>
      <c r="C304" s="27"/>
      <c r="D304" s="59"/>
      <c r="E304" s="27"/>
    </row>
    <row r="305">
      <c r="A305" s="52"/>
      <c r="B305" s="52"/>
      <c r="C305" s="27"/>
      <c r="D305" s="59"/>
      <c r="E305" s="27"/>
    </row>
    <row r="306">
      <c r="A306" s="52"/>
      <c r="B306" s="52"/>
      <c r="C306" s="27"/>
      <c r="D306" s="59"/>
      <c r="E306" s="27"/>
    </row>
    <row r="307">
      <c r="A307" s="52"/>
      <c r="B307" s="52"/>
      <c r="C307" s="27"/>
      <c r="D307" s="59"/>
      <c r="E307" s="27"/>
    </row>
    <row r="308">
      <c r="A308" s="52"/>
      <c r="B308" s="52"/>
      <c r="C308" s="27"/>
      <c r="D308" s="59"/>
      <c r="E308" s="27"/>
    </row>
    <row r="309">
      <c r="A309" s="52"/>
      <c r="B309" s="52"/>
      <c r="C309" s="27"/>
      <c r="D309" s="59"/>
      <c r="E309" s="27"/>
    </row>
    <row r="310">
      <c r="A310" s="52"/>
      <c r="B310" s="52"/>
      <c r="C310" s="27"/>
      <c r="D310" s="59"/>
      <c r="E310" s="27"/>
    </row>
    <row r="311">
      <c r="A311" s="52"/>
      <c r="B311" s="52"/>
      <c r="C311" s="27"/>
      <c r="D311" s="59"/>
      <c r="E311" s="27"/>
    </row>
    <row r="312">
      <c r="A312" s="52"/>
      <c r="B312" s="52"/>
      <c r="C312" s="27"/>
      <c r="D312" s="59"/>
      <c r="E312" s="27"/>
    </row>
    <row r="313">
      <c r="A313" s="52"/>
      <c r="B313" s="52"/>
      <c r="C313" s="27"/>
      <c r="D313" s="59"/>
      <c r="E313" s="27"/>
    </row>
    <row r="314">
      <c r="A314" s="52"/>
      <c r="B314" s="52"/>
      <c r="C314" s="27"/>
      <c r="D314" s="59"/>
      <c r="E314" s="27"/>
    </row>
    <row r="315">
      <c r="A315" s="52"/>
      <c r="B315" s="52"/>
      <c r="C315" s="27"/>
      <c r="D315" s="59"/>
      <c r="E315" s="27"/>
    </row>
    <row r="316">
      <c r="A316" s="52"/>
      <c r="B316" s="52"/>
      <c r="C316" s="27"/>
      <c r="D316" s="59"/>
      <c r="E316" s="27"/>
    </row>
    <row r="317">
      <c r="A317" s="52"/>
      <c r="B317" s="52"/>
      <c r="C317" s="27"/>
      <c r="D317" s="59"/>
      <c r="E317" s="27"/>
    </row>
    <row r="318">
      <c r="A318" s="52"/>
      <c r="B318" s="52"/>
      <c r="C318" s="27"/>
      <c r="D318" s="59"/>
      <c r="E318" s="27"/>
    </row>
    <row r="319">
      <c r="A319" s="52"/>
      <c r="B319" s="52"/>
      <c r="C319" s="27"/>
      <c r="D319" s="59"/>
      <c r="E319" s="27"/>
    </row>
    <row r="320">
      <c r="A320" s="52"/>
      <c r="B320" s="52"/>
      <c r="C320" s="27"/>
      <c r="D320" s="59"/>
      <c r="E320" s="27"/>
    </row>
    <row r="321">
      <c r="A321" s="52"/>
      <c r="B321" s="52"/>
      <c r="C321" s="27"/>
      <c r="D321" s="59"/>
      <c r="E321" s="27"/>
    </row>
    <row r="322">
      <c r="A322" s="52"/>
      <c r="B322" s="52"/>
      <c r="C322" s="27"/>
      <c r="D322" s="59"/>
      <c r="E322" s="27"/>
    </row>
    <row r="323">
      <c r="A323" s="52"/>
      <c r="B323" s="52"/>
      <c r="C323" s="27"/>
      <c r="D323" s="59"/>
      <c r="E323" s="27"/>
    </row>
    <row r="324">
      <c r="A324" s="52"/>
      <c r="B324" s="52"/>
      <c r="C324" s="27"/>
      <c r="D324" s="59"/>
      <c r="E324" s="27"/>
    </row>
    <row r="325">
      <c r="A325" s="52"/>
      <c r="B325" s="52"/>
      <c r="C325" s="27"/>
      <c r="D325" s="59"/>
      <c r="E325" s="27"/>
    </row>
    <row r="326">
      <c r="A326" s="52"/>
      <c r="B326" s="52"/>
      <c r="C326" s="27"/>
      <c r="D326" s="59"/>
      <c r="E326" s="27"/>
    </row>
    <row r="327">
      <c r="A327" s="52"/>
      <c r="B327" s="52"/>
      <c r="C327" s="27"/>
      <c r="D327" s="59"/>
      <c r="E327" s="27"/>
    </row>
    <row r="328">
      <c r="A328" s="52"/>
      <c r="B328" s="52"/>
      <c r="C328" s="27"/>
      <c r="D328" s="59"/>
      <c r="E328" s="27"/>
    </row>
    <row r="329">
      <c r="A329" s="52"/>
      <c r="B329" s="52"/>
      <c r="C329" s="27"/>
      <c r="D329" s="59"/>
      <c r="E329" s="27"/>
    </row>
    <row r="330">
      <c r="A330" s="52"/>
      <c r="B330" s="52"/>
      <c r="C330" s="27"/>
      <c r="D330" s="59"/>
      <c r="E330" s="27"/>
    </row>
    <row r="331">
      <c r="A331" s="52"/>
      <c r="B331" s="52"/>
      <c r="C331" s="27"/>
      <c r="D331" s="59"/>
      <c r="E331" s="27"/>
    </row>
    <row r="332">
      <c r="A332" s="52"/>
      <c r="B332" s="52"/>
      <c r="C332" s="27"/>
      <c r="D332" s="59"/>
      <c r="E332" s="27"/>
    </row>
    <row r="333">
      <c r="A333" s="52"/>
      <c r="B333" s="52"/>
      <c r="C333" s="27"/>
      <c r="D333" s="59"/>
      <c r="E333" s="27"/>
    </row>
    <row r="334">
      <c r="A334" s="52"/>
      <c r="B334" s="52"/>
      <c r="C334" s="27"/>
      <c r="D334" s="59"/>
      <c r="E334" s="27"/>
    </row>
    <row r="335">
      <c r="A335" s="52"/>
      <c r="B335" s="52"/>
      <c r="C335" s="27"/>
      <c r="D335" s="59"/>
      <c r="E335" s="27"/>
    </row>
    <row r="336">
      <c r="A336" s="52"/>
      <c r="B336" s="52"/>
      <c r="C336" s="27"/>
      <c r="D336" s="59"/>
      <c r="E336" s="27"/>
    </row>
    <row r="337">
      <c r="A337" s="52"/>
      <c r="B337" s="52"/>
      <c r="C337" s="27"/>
      <c r="D337" s="59"/>
      <c r="E337" s="27"/>
    </row>
    <row r="338">
      <c r="A338" s="52"/>
      <c r="B338" s="52"/>
      <c r="C338" s="27"/>
      <c r="D338" s="59"/>
      <c r="E338" s="27"/>
    </row>
    <row r="339">
      <c r="A339" s="52"/>
      <c r="B339" s="52"/>
      <c r="C339" s="27"/>
      <c r="D339" s="59"/>
      <c r="E339" s="27"/>
    </row>
    <row r="340">
      <c r="A340" s="52"/>
      <c r="B340" s="52"/>
      <c r="C340" s="27"/>
      <c r="D340" s="59"/>
      <c r="E340" s="27"/>
    </row>
    <row r="341">
      <c r="A341" s="52"/>
      <c r="B341" s="52"/>
      <c r="C341" s="27"/>
      <c r="D341" s="59"/>
      <c r="E341" s="27"/>
    </row>
    <row r="342">
      <c r="A342" s="52"/>
      <c r="B342" s="52"/>
      <c r="C342" s="27"/>
      <c r="D342" s="59"/>
      <c r="E342" s="27"/>
    </row>
    <row r="343">
      <c r="A343" s="52"/>
      <c r="B343" s="52"/>
      <c r="C343" s="27"/>
      <c r="D343" s="59"/>
      <c r="E343" s="27"/>
    </row>
    <row r="344">
      <c r="A344" s="52"/>
      <c r="B344" s="52"/>
      <c r="C344" s="27"/>
      <c r="D344" s="59"/>
      <c r="E344" s="27"/>
    </row>
    <row r="345">
      <c r="A345" s="52"/>
      <c r="B345" s="52"/>
      <c r="C345" s="27"/>
      <c r="D345" s="59"/>
      <c r="E345" s="27"/>
    </row>
    <row r="346">
      <c r="A346" s="52"/>
      <c r="B346" s="52"/>
      <c r="C346" s="27"/>
      <c r="D346" s="59"/>
      <c r="E346" s="27"/>
    </row>
    <row r="347">
      <c r="A347" s="52"/>
      <c r="B347" s="52"/>
      <c r="C347" s="27"/>
      <c r="D347" s="59"/>
      <c r="E347" s="27"/>
    </row>
    <row r="348">
      <c r="A348" s="52"/>
      <c r="B348" s="52"/>
      <c r="C348" s="27"/>
      <c r="D348" s="59"/>
      <c r="E348" s="27"/>
    </row>
    <row r="349">
      <c r="A349" s="52"/>
      <c r="B349" s="52"/>
      <c r="C349" s="27"/>
      <c r="D349" s="59"/>
      <c r="E349" s="27"/>
    </row>
    <row r="350">
      <c r="A350" s="52"/>
      <c r="B350" s="52"/>
      <c r="C350" s="27"/>
      <c r="D350" s="59"/>
      <c r="E350" s="27"/>
    </row>
    <row r="351">
      <c r="A351" s="52"/>
      <c r="B351" s="52"/>
      <c r="C351" s="27"/>
      <c r="D351" s="59"/>
      <c r="E351" s="27"/>
    </row>
    <row r="352">
      <c r="A352" s="52"/>
      <c r="B352" s="52"/>
      <c r="C352" s="27"/>
      <c r="D352" s="59"/>
      <c r="E352" s="27"/>
    </row>
    <row r="353">
      <c r="A353" s="52"/>
      <c r="B353" s="52"/>
      <c r="C353" s="27"/>
      <c r="D353" s="59"/>
      <c r="E353" s="27"/>
    </row>
    <row r="354">
      <c r="A354" s="52"/>
      <c r="B354" s="52"/>
      <c r="C354" s="27"/>
      <c r="D354" s="59"/>
      <c r="E354" s="27"/>
    </row>
    <row r="355">
      <c r="A355" s="52"/>
      <c r="B355" s="52"/>
      <c r="C355" s="27"/>
      <c r="D355" s="59"/>
      <c r="E355" s="27"/>
    </row>
    <row r="356">
      <c r="A356" s="52"/>
      <c r="B356" s="52"/>
      <c r="C356" s="27"/>
      <c r="D356" s="59"/>
      <c r="E356" s="27"/>
    </row>
    <row r="357">
      <c r="A357" s="52"/>
      <c r="B357" s="52"/>
      <c r="C357" s="27"/>
      <c r="D357" s="59"/>
      <c r="E357" s="27"/>
    </row>
    <row r="358">
      <c r="A358" s="52"/>
      <c r="B358" s="52"/>
      <c r="C358" s="27"/>
      <c r="D358" s="59"/>
      <c r="E358" s="27"/>
    </row>
    <row r="359">
      <c r="A359" s="52"/>
      <c r="B359" s="52"/>
      <c r="C359" s="27"/>
      <c r="D359" s="59"/>
      <c r="E359" s="27"/>
    </row>
    <row r="360">
      <c r="A360" s="52"/>
      <c r="B360" s="52"/>
      <c r="C360" s="27"/>
      <c r="D360" s="59"/>
      <c r="E360" s="27"/>
    </row>
    <row r="361">
      <c r="A361" s="52"/>
      <c r="B361" s="52"/>
      <c r="C361" s="27"/>
      <c r="D361" s="59"/>
      <c r="E361" s="27"/>
    </row>
    <row r="362">
      <c r="A362" s="52"/>
      <c r="B362" s="52"/>
      <c r="C362" s="27"/>
      <c r="D362" s="59"/>
      <c r="E362" s="27"/>
    </row>
    <row r="363">
      <c r="A363" s="52"/>
      <c r="B363" s="52"/>
      <c r="C363" s="27"/>
      <c r="D363" s="59"/>
      <c r="E363" s="27"/>
    </row>
    <row r="364">
      <c r="A364" s="52"/>
      <c r="B364" s="52"/>
      <c r="C364" s="27"/>
      <c r="D364" s="59"/>
      <c r="E364" s="27"/>
    </row>
    <row r="365">
      <c r="A365" s="52"/>
      <c r="B365" s="52"/>
      <c r="C365" s="27"/>
      <c r="D365" s="59"/>
      <c r="E365" s="27"/>
    </row>
    <row r="366">
      <c r="A366" s="52"/>
      <c r="B366" s="52"/>
      <c r="C366" s="27"/>
      <c r="D366" s="59"/>
      <c r="E366" s="27"/>
    </row>
    <row r="367">
      <c r="A367" s="52"/>
      <c r="B367" s="52"/>
      <c r="C367" s="27"/>
      <c r="D367" s="59"/>
      <c r="E367" s="27"/>
    </row>
    <row r="368">
      <c r="A368" s="52"/>
      <c r="B368" s="52"/>
      <c r="C368" s="27"/>
      <c r="D368" s="59"/>
      <c r="E368" s="27"/>
    </row>
    <row r="369">
      <c r="A369" s="52"/>
      <c r="B369" s="52"/>
      <c r="C369" s="27"/>
      <c r="D369" s="59"/>
      <c r="E369" s="27"/>
    </row>
    <row r="370">
      <c r="A370" s="52"/>
      <c r="B370" s="52"/>
      <c r="C370" s="27"/>
      <c r="D370" s="59"/>
      <c r="E370" s="27"/>
    </row>
    <row r="371">
      <c r="A371" s="52"/>
      <c r="B371" s="52"/>
      <c r="C371" s="27"/>
      <c r="D371" s="59"/>
      <c r="E371" s="27"/>
    </row>
    <row r="372">
      <c r="A372" s="52"/>
      <c r="B372" s="52"/>
      <c r="C372" s="27"/>
      <c r="D372" s="59"/>
      <c r="E372" s="27"/>
    </row>
    <row r="373">
      <c r="A373" s="52"/>
      <c r="B373" s="52"/>
      <c r="C373" s="27"/>
      <c r="D373" s="59"/>
      <c r="E373" s="27"/>
    </row>
    <row r="374">
      <c r="A374" s="52"/>
      <c r="B374" s="52"/>
      <c r="C374" s="27"/>
      <c r="D374" s="59"/>
      <c r="E374" s="27"/>
    </row>
    <row r="375">
      <c r="A375" s="52"/>
      <c r="B375" s="52"/>
      <c r="C375" s="27"/>
      <c r="D375" s="59"/>
      <c r="E375" s="27"/>
    </row>
    <row r="376">
      <c r="A376" s="52"/>
      <c r="B376" s="52"/>
      <c r="C376" s="27"/>
      <c r="D376" s="59"/>
      <c r="E376" s="27"/>
    </row>
    <row r="377">
      <c r="A377" s="52"/>
      <c r="B377" s="52"/>
      <c r="C377" s="27"/>
      <c r="D377" s="59"/>
      <c r="E377" s="27"/>
    </row>
    <row r="378">
      <c r="A378" s="52"/>
      <c r="B378" s="52"/>
      <c r="C378" s="27"/>
      <c r="D378" s="59"/>
      <c r="E378" s="27"/>
    </row>
    <row r="379">
      <c r="A379" s="52"/>
      <c r="B379" s="52"/>
      <c r="C379" s="27"/>
      <c r="D379" s="59"/>
      <c r="E379" s="27"/>
    </row>
    <row r="380">
      <c r="A380" s="52"/>
      <c r="B380" s="52"/>
      <c r="C380" s="27"/>
      <c r="D380" s="59"/>
      <c r="E380" s="27"/>
    </row>
    <row r="381">
      <c r="A381" s="52"/>
      <c r="B381" s="52"/>
      <c r="C381" s="27"/>
      <c r="D381" s="59"/>
      <c r="E381" s="27"/>
    </row>
    <row r="382">
      <c r="A382" s="52"/>
      <c r="B382" s="52"/>
      <c r="C382" s="27"/>
      <c r="D382" s="59"/>
      <c r="E382" s="27"/>
    </row>
    <row r="383">
      <c r="A383" s="52"/>
      <c r="B383" s="52"/>
      <c r="C383" s="27"/>
      <c r="D383" s="59"/>
      <c r="E383" s="27"/>
    </row>
    <row r="384">
      <c r="A384" s="52"/>
      <c r="B384" s="52"/>
      <c r="C384" s="27"/>
      <c r="D384" s="59"/>
      <c r="E384" s="27"/>
    </row>
    <row r="385">
      <c r="A385" s="52"/>
      <c r="B385" s="52"/>
      <c r="C385" s="27"/>
      <c r="D385" s="59"/>
      <c r="E385" s="27"/>
    </row>
    <row r="386">
      <c r="A386" s="52"/>
      <c r="B386" s="52"/>
      <c r="C386" s="27"/>
      <c r="D386" s="59"/>
      <c r="E386" s="27"/>
    </row>
    <row r="387">
      <c r="A387" s="52"/>
      <c r="B387" s="52"/>
      <c r="C387" s="27"/>
      <c r="D387" s="59"/>
      <c r="E387" s="27"/>
    </row>
    <row r="388">
      <c r="A388" s="52"/>
      <c r="B388" s="52"/>
      <c r="C388" s="27"/>
      <c r="D388" s="59"/>
      <c r="E388" s="27"/>
    </row>
    <row r="389">
      <c r="A389" s="52"/>
      <c r="B389" s="52"/>
      <c r="C389" s="27"/>
      <c r="D389" s="59"/>
      <c r="E389" s="27"/>
    </row>
    <row r="390">
      <c r="A390" s="52"/>
      <c r="B390" s="52"/>
      <c r="C390" s="27"/>
      <c r="D390" s="59"/>
      <c r="E390" s="27"/>
    </row>
    <row r="391">
      <c r="A391" s="52"/>
      <c r="B391" s="52"/>
      <c r="C391" s="27"/>
      <c r="D391" s="59"/>
      <c r="E391" s="27"/>
    </row>
    <row r="392">
      <c r="A392" s="52"/>
      <c r="B392" s="52"/>
      <c r="C392" s="27"/>
      <c r="D392" s="59"/>
      <c r="E392" s="27"/>
    </row>
    <row r="393">
      <c r="A393" s="52"/>
      <c r="B393" s="52"/>
      <c r="C393" s="27"/>
      <c r="D393" s="59"/>
      <c r="E393" s="27"/>
    </row>
    <row r="394">
      <c r="A394" s="52"/>
      <c r="B394" s="52"/>
      <c r="C394" s="27"/>
      <c r="D394" s="59"/>
      <c r="E394" s="27"/>
    </row>
    <row r="395">
      <c r="A395" s="52"/>
      <c r="B395" s="52"/>
      <c r="C395" s="27"/>
      <c r="D395" s="59"/>
      <c r="E395" s="27"/>
    </row>
    <row r="396">
      <c r="A396" s="52"/>
      <c r="B396" s="52"/>
      <c r="C396" s="27"/>
      <c r="D396" s="59"/>
      <c r="E396" s="27"/>
    </row>
    <row r="397">
      <c r="A397" s="52"/>
      <c r="B397" s="52"/>
      <c r="C397" s="27"/>
      <c r="D397" s="59"/>
      <c r="E397" s="27"/>
    </row>
    <row r="398">
      <c r="A398" s="52"/>
      <c r="B398" s="52"/>
      <c r="C398" s="27"/>
      <c r="D398" s="59"/>
      <c r="E398" s="27"/>
    </row>
    <row r="399">
      <c r="A399" s="52"/>
      <c r="B399" s="52"/>
      <c r="C399" s="27"/>
      <c r="D399" s="59"/>
      <c r="E399" s="27"/>
    </row>
    <row r="400">
      <c r="A400" s="52"/>
      <c r="B400" s="52"/>
      <c r="C400" s="27"/>
      <c r="D400" s="59"/>
      <c r="E400" s="27"/>
    </row>
    <row r="401">
      <c r="A401" s="52"/>
      <c r="B401" s="52"/>
      <c r="C401" s="27"/>
      <c r="D401" s="59"/>
      <c r="E401" s="27"/>
    </row>
    <row r="402">
      <c r="A402" s="52"/>
      <c r="B402" s="52"/>
      <c r="C402" s="27"/>
      <c r="D402" s="59"/>
      <c r="E402" s="27"/>
    </row>
    <row r="403">
      <c r="A403" s="52"/>
      <c r="B403" s="52"/>
      <c r="C403" s="27"/>
      <c r="D403" s="59"/>
      <c r="E403" s="27"/>
    </row>
    <row r="404">
      <c r="A404" s="52"/>
      <c r="B404" s="52"/>
      <c r="C404" s="27"/>
      <c r="D404" s="59"/>
      <c r="E404" s="27"/>
    </row>
    <row r="405">
      <c r="A405" s="52"/>
      <c r="B405" s="52"/>
      <c r="C405" s="27"/>
      <c r="D405" s="59"/>
      <c r="E405" s="27"/>
    </row>
    <row r="406">
      <c r="A406" s="52"/>
      <c r="B406" s="52"/>
      <c r="C406" s="27"/>
      <c r="D406" s="59"/>
      <c r="E406" s="27"/>
    </row>
    <row r="407">
      <c r="A407" s="52"/>
      <c r="B407" s="52"/>
      <c r="C407" s="27"/>
      <c r="D407" s="59"/>
      <c r="E407" s="27"/>
    </row>
    <row r="408">
      <c r="A408" s="52"/>
      <c r="B408" s="52"/>
      <c r="C408" s="27"/>
      <c r="D408" s="59"/>
      <c r="E408" s="27"/>
    </row>
    <row r="409">
      <c r="A409" s="52"/>
      <c r="B409" s="52"/>
      <c r="C409" s="27"/>
      <c r="D409" s="59"/>
      <c r="E409" s="27"/>
    </row>
    <row r="410">
      <c r="A410" s="52"/>
      <c r="B410" s="52"/>
      <c r="C410" s="27"/>
      <c r="D410" s="59"/>
      <c r="E410" s="27"/>
    </row>
    <row r="411">
      <c r="A411" s="52"/>
      <c r="B411" s="52"/>
      <c r="C411" s="27"/>
      <c r="D411" s="59"/>
      <c r="E411" s="27"/>
    </row>
    <row r="412">
      <c r="A412" s="52"/>
      <c r="B412" s="52"/>
      <c r="C412" s="27"/>
      <c r="D412" s="59"/>
      <c r="E412" s="27"/>
    </row>
    <row r="413">
      <c r="A413" s="52"/>
      <c r="B413" s="52"/>
      <c r="C413" s="27"/>
      <c r="D413" s="59"/>
      <c r="E413" s="27"/>
    </row>
    <row r="414">
      <c r="A414" s="52"/>
      <c r="B414" s="52"/>
      <c r="C414" s="27"/>
      <c r="D414" s="59"/>
      <c r="E414" s="27"/>
    </row>
    <row r="415">
      <c r="A415" s="52"/>
      <c r="B415" s="52"/>
      <c r="C415" s="27"/>
      <c r="D415" s="59"/>
      <c r="E415" s="27"/>
    </row>
    <row r="416">
      <c r="A416" s="52"/>
      <c r="B416" s="52"/>
      <c r="C416" s="27"/>
      <c r="D416" s="59"/>
      <c r="E416" s="27"/>
    </row>
    <row r="417">
      <c r="A417" s="52"/>
      <c r="B417" s="52"/>
      <c r="C417" s="27"/>
      <c r="D417" s="59"/>
      <c r="E417" s="27"/>
    </row>
    <row r="418">
      <c r="A418" s="52"/>
      <c r="B418" s="52"/>
      <c r="C418" s="27"/>
      <c r="D418" s="59"/>
      <c r="E418" s="27"/>
    </row>
    <row r="419">
      <c r="A419" s="52"/>
      <c r="B419" s="52"/>
      <c r="C419" s="27"/>
      <c r="D419" s="59"/>
      <c r="E419" s="27"/>
    </row>
    <row r="420">
      <c r="A420" s="52"/>
      <c r="B420" s="52"/>
      <c r="C420" s="27"/>
      <c r="D420" s="59"/>
      <c r="E420" s="27"/>
    </row>
    <row r="421">
      <c r="A421" s="52"/>
      <c r="B421" s="52"/>
      <c r="C421" s="27"/>
      <c r="D421" s="59"/>
      <c r="E421" s="27"/>
    </row>
    <row r="422">
      <c r="A422" s="52"/>
      <c r="B422" s="52"/>
      <c r="C422" s="27"/>
      <c r="D422" s="59"/>
      <c r="E422" s="27"/>
    </row>
    <row r="423">
      <c r="A423" s="52"/>
      <c r="B423" s="52"/>
      <c r="C423" s="27"/>
      <c r="D423" s="59"/>
      <c r="E423" s="27"/>
    </row>
    <row r="424">
      <c r="A424" s="52"/>
      <c r="B424" s="52"/>
      <c r="C424" s="27"/>
      <c r="D424" s="59"/>
      <c r="E424" s="27"/>
    </row>
    <row r="425">
      <c r="A425" s="52"/>
      <c r="B425" s="52"/>
      <c r="C425" s="27"/>
      <c r="D425" s="59"/>
      <c r="E425" s="27"/>
    </row>
    <row r="426">
      <c r="A426" s="52"/>
      <c r="B426" s="52"/>
      <c r="C426" s="27"/>
      <c r="D426" s="59"/>
      <c r="E426" s="27"/>
    </row>
    <row r="427">
      <c r="A427" s="52"/>
      <c r="B427" s="52"/>
      <c r="C427" s="27"/>
      <c r="D427" s="59"/>
      <c r="E427" s="27"/>
    </row>
    <row r="428">
      <c r="A428" s="52"/>
      <c r="B428" s="52"/>
      <c r="C428" s="27"/>
      <c r="D428" s="59"/>
      <c r="E428" s="27"/>
    </row>
    <row r="429">
      <c r="A429" s="52"/>
      <c r="B429" s="52"/>
      <c r="C429" s="27"/>
      <c r="D429" s="59"/>
      <c r="E429" s="27"/>
    </row>
    <row r="430">
      <c r="A430" s="52"/>
      <c r="B430" s="52"/>
      <c r="C430" s="27"/>
      <c r="D430" s="59"/>
      <c r="E430" s="27"/>
    </row>
    <row r="431">
      <c r="A431" s="52"/>
      <c r="B431" s="52"/>
      <c r="C431" s="27"/>
      <c r="D431" s="59"/>
      <c r="E431" s="27"/>
    </row>
    <row r="432">
      <c r="A432" s="52"/>
      <c r="B432" s="52"/>
      <c r="C432" s="27"/>
      <c r="D432" s="59"/>
      <c r="E432" s="27"/>
    </row>
    <row r="433">
      <c r="A433" s="52"/>
      <c r="B433" s="52"/>
      <c r="C433" s="27"/>
      <c r="D433" s="59"/>
      <c r="E433" s="27"/>
    </row>
    <row r="434">
      <c r="A434" s="52"/>
      <c r="B434" s="52"/>
      <c r="C434" s="27"/>
      <c r="D434" s="59"/>
      <c r="E434" s="27"/>
    </row>
    <row r="435">
      <c r="A435" s="52"/>
      <c r="B435" s="52"/>
      <c r="C435" s="27"/>
      <c r="D435" s="59"/>
      <c r="E435" s="27"/>
    </row>
    <row r="436">
      <c r="A436" s="52"/>
      <c r="B436" s="52"/>
      <c r="C436" s="27"/>
      <c r="D436" s="59"/>
      <c r="E436" s="27"/>
    </row>
    <row r="437">
      <c r="A437" s="52"/>
      <c r="B437" s="52"/>
      <c r="C437" s="27"/>
      <c r="D437" s="59"/>
      <c r="E437" s="27"/>
    </row>
    <row r="438">
      <c r="A438" s="52"/>
      <c r="B438" s="52"/>
      <c r="C438" s="27"/>
      <c r="D438" s="59"/>
      <c r="E438" s="27"/>
    </row>
    <row r="439">
      <c r="A439" s="52"/>
      <c r="B439" s="52"/>
      <c r="C439" s="27"/>
      <c r="D439" s="59"/>
      <c r="E439" s="27"/>
    </row>
    <row r="440">
      <c r="A440" s="52"/>
      <c r="B440" s="52"/>
      <c r="C440" s="27"/>
      <c r="D440" s="59"/>
      <c r="E440" s="27"/>
    </row>
    <row r="441">
      <c r="A441" s="52"/>
      <c r="B441" s="52"/>
      <c r="C441" s="27"/>
      <c r="D441" s="59"/>
      <c r="E441" s="27"/>
    </row>
    <row r="442">
      <c r="A442" s="52"/>
      <c r="B442" s="52"/>
      <c r="C442" s="27"/>
      <c r="D442" s="59"/>
      <c r="E442" s="27"/>
    </row>
    <row r="443">
      <c r="A443" s="52"/>
      <c r="B443" s="52"/>
      <c r="C443" s="27"/>
      <c r="D443" s="59"/>
      <c r="E443" s="27"/>
    </row>
    <row r="444">
      <c r="A444" s="52"/>
      <c r="B444" s="52"/>
      <c r="C444" s="27"/>
      <c r="D444" s="59"/>
      <c r="E444" s="27"/>
    </row>
    <row r="445">
      <c r="A445" s="52"/>
      <c r="B445" s="52"/>
      <c r="C445" s="27"/>
      <c r="D445" s="59"/>
      <c r="E445" s="27"/>
    </row>
    <row r="446">
      <c r="A446" s="52"/>
      <c r="B446" s="52"/>
      <c r="C446" s="27"/>
      <c r="D446" s="59"/>
      <c r="E446" s="27"/>
    </row>
    <row r="447">
      <c r="A447" s="52"/>
      <c r="B447" s="52"/>
      <c r="C447" s="27"/>
      <c r="D447" s="59"/>
      <c r="E447" s="27"/>
    </row>
    <row r="448">
      <c r="A448" s="52"/>
      <c r="B448" s="52"/>
      <c r="C448" s="27"/>
      <c r="D448" s="59"/>
      <c r="E448" s="27"/>
    </row>
    <row r="449">
      <c r="A449" s="52"/>
      <c r="B449" s="52"/>
      <c r="C449" s="27"/>
      <c r="D449" s="59"/>
      <c r="E449" s="27"/>
    </row>
    <row r="450">
      <c r="A450" s="52"/>
      <c r="B450" s="52"/>
      <c r="C450" s="27"/>
      <c r="D450" s="59"/>
      <c r="E450" s="27"/>
    </row>
    <row r="451">
      <c r="A451" s="52"/>
      <c r="B451" s="52"/>
      <c r="C451" s="27"/>
      <c r="D451" s="59"/>
      <c r="E451" s="27"/>
    </row>
    <row r="452">
      <c r="A452" s="52"/>
      <c r="B452" s="52"/>
      <c r="C452" s="27"/>
      <c r="D452" s="59"/>
      <c r="E452" s="27"/>
    </row>
    <row r="453">
      <c r="A453" s="52"/>
      <c r="B453" s="52"/>
      <c r="C453" s="27"/>
      <c r="D453" s="59"/>
      <c r="E453" s="27"/>
    </row>
    <row r="454">
      <c r="A454" s="52"/>
      <c r="B454" s="52"/>
      <c r="C454" s="27"/>
      <c r="D454" s="59"/>
      <c r="E454" s="27"/>
    </row>
    <row r="455">
      <c r="A455" s="52"/>
      <c r="B455" s="52"/>
      <c r="C455" s="27"/>
      <c r="D455" s="59"/>
      <c r="E455" s="27"/>
    </row>
    <row r="456">
      <c r="A456" s="52"/>
      <c r="B456" s="52"/>
      <c r="C456" s="27"/>
      <c r="D456" s="59"/>
      <c r="E456" s="27"/>
    </row>
    <row r="457">
      <c r="A457" s="52"/>
      <c r="B457" s="52"/>
      <c r="C457" s="27"/>
      <c r="D457" s="59"/>
      <c r="E457" s="27"/>
    </row>
    <row r="458">
      <c r="A458" s="52"/>
      <c r="B458" s="52"/>
      <c r="C458" s="27"/>
      <c r="D458" s="59"/>
      <c r="E458" s="27"/>
    </row>
    <row r="459">
      <c r="A459" s="52"/>
      <c r="B459" s="52"/>
      <c r="C459" s="27"/>
      <c r="D459" s="59"/>
      <c r="E459" s="27"/>
    </row>
    <row r="460">
      <c r="A460" s="52"/>
      <c r="B460" s="52"/>
      <c r="C460" s="27"/>
      <c r="D460" s="59"/>
      <c r="E460" s="27"/>
    </row>
    <row r="461">
      <c r="A461" s="52"/>
      <c r="B461" s="52"/>
      <c r="C461" s="27"/>
      <c r="D461" s="59"/>
      <c r="E461" s="27"/>
    </row>
    <row r="462">
      <c r="A462" s="52"/>
      <c r="B462" s="52"/>
      <c r="C462" s="27"/>
      <c r="D462" s="59"/>
      <c r="E462" s="27"/>
    </row>
    <row r="463">
      <c r="A463" s="52"/>
      <c r="B463" s="52"/>
      <c r="C463" s="27"/>
      <c r="D463" s="59"/>
      <c r="E463" s="27"/>
    </row>
    <row r="464">
      <c r="A464" s="52"/>
      <c r="B464" s="52"/>
      <c r="C464" s="27"/>
      <c r="D464" s="59"/>
      <c r="E464" s="27"/>
    </row>
    <row r="465">
      <c r="A465" s="52"/>
      <c r="B465" s="52"/>
      <c r="C465" s="27"/>
      <c r="D465" s="59"/>
      <c r="E465" s="27"/>
    </row>
    <row r="466">
      <c r="A466" s="52"/>
      <c r="B466" s="52"/>
      <c r="C466" s="27"/>
      <c r="D466" s="59"/>
      <c r="E466" s="27"/>
    </row>
    <row r="467">
      <c r="A467" s="52"/>
      <c r="B467" s="52"/>
      <c r="C467" s="27"/>
      <c r="D467" s="59"/>
      <c r="E467" s="27"/>
    </row>
    <row r="468">
      <c r="A468" s="52"/>
      <c r="B468" s="52"/>
      <c r="C468" s="27"/>
      <c r="D468" s="59"/>
      <c r="E468" s="27"/>
    </row>
    <row r="469">
      <c r="A469" s="52"/>
      <c r="B469" s="52"/>
      <c r="C469" s="27"/>
      <c r="D469" s="59"/>
      <c r="E469" s="27"/>
    </row>
    <row r="470">
      <c r="A470" s="52"/>
      <c r="B470" s="52"/>
      <c r="C470" s="27"/>
      <c r="D470" s="59"/>
      <c r="E470" s="27"/>
    </row>
    <row r="471">
      <c r="A471" s="52"/>
      <c r="B471" s="52"/>
      <c r="C471" s="27"/>
      <c r="D471" s="59"/>
      <c r="E471" s="27"/>
    </row>
    <row r="472">
      <c r="A472" s="52"/>
      <c r="B472" s="52"/>
      <c r="C472" s="27"/>
      <c r="D472" s="59"/>
      <c r="E472" s="27"/>
    </row>
    <row r="473">
      <c r="A473" s="52"/>
      <c r="B473" s="52"/>
      <c r="C473" s="27"/>
      <c r="D473" s="59"/>
      <c r="E473" s="27"/>
    </row>
    <row r="474">
      <c r="A474" s="52"/>
      <c r="B474" s="52"/>
      <c r="C474" s="27"/>
      <c r="D474" s="59"/>
      <c r="E474" s="27"/>
    </row>
    <row r="475">
      <c r="A475" s="52"/>
      <c r="B475" s="52"/>
      <c r="C475" s="27"/>
      <c r="D475" s="59"/>
      <c r="E475" s="27"/>
    </row>
    <row r="476">
      <c r="A476" s="52"/>
      <c r="B476" s="52"/>
      <c r="C476" s="27"/>
      <c r="D476" s="59"/>
      <c r="E476" s="27"/>
    </row>
    <row r="477">
      <c r="A477" s="52"/>
      <c r="B477" s="52"/>
      <c r="C477" s="27"/>
      <c r="D477" s="59"/>
      <c r="E477" s="27"/>
    </row>
    <row r="478">
      <c r="A478" s="52"/>
      <c r="B478" s="52"/>
      <c r="C478" s="27"/>
      <c r="D478" s="59"/>
      <c r="E478" s="27"/>
    </row>
    <row r="479">
      <c r="A479" s="52"/>
      <c r="B479" s="52"/>
      <c r="C479" s="27"/>
      <c r="D479" s="59"/>
      <c r="E479" s="27"/>
    </row>
    <row r="480">
      <c r="A480" s="52"/>
      <c r="B480" s="52"/>
      <c r="C480" s="27"/>
      <c r="D480" s="59"/>
      <c r="E480" s="27"/>
    </row>
    <row r="481">
      <c r="A481" s="52"/>
      <c r="B481" s="52"/>
      <c r="C481" s="27"/>
      <c r="D481" s="59"/>
      <c r="E481" s="27"/>
    </row>
    <row r="482">
      <c r="A482" s="52"/>
      <c r="B482" s="52"/>
      <c r="C482" s="27"/>
      <c r="D482" s="59"/>
      <c r="E482" s="27"/>
    </row>
    <row r="483">
      <c r="A483" s="52"/>
      <c r="B483" s="52"/>
      <c r="C483" s="27"/>
      <c r="D483" s="59"/>
      <c r="E483" s="27"/>
    </row>
    <row r="484">
      <c r="A484" s="52"/>
      <c r="B484" s="52"/>
      <c r="C484" s="27"/>
      <c r="D484" s="59"/>
      <c r="E484" s="27"/>
    </row>
    <row r="485">
      <c r="A485" s="52"/>
      <c r="B485" s="52"/>
      <c r="C485" s="27"/>
      <c r="D485" s="59"/>
      <c r="E485" s="27"/>
    </row>
    <row r="486">
      <c r="A486" s="52"/>
      <c r="B486" s="52"/>
      <c r="C486" s="27"/>
      <c r="D486" s="59"/>
      <c r="E486" s="27"/>
    </row>
    <row r="487">
      <c r="A487" s="52"/>
      <c r="B487" s="52"/>
      <c r="C487" s="27"/>
      <c r="D487" s="59"/>
      <c r="E487" s="27"/>
    </row>
    <row r="488">
      <c r="A488" s="52"/>
      <c r="B488" s="52"/>
      <c r="C488" s="27"/>
      <c r="D488" s="59"/>
      <c r="E488" s="27"/>
    </row>
    <row r="489">
      <c r="A489" s="52"/>
      <c r="B489" s="52"/>
      <c r="C489" s="27"/>
      <c r="D489" s="59"/>
      <c r="E489" s="27"/>
    </row>
    <row r="490">
      <c r="A490" s="52"/>
      <c r="B490" s="52"/>
      <c r="C490" s="27"/>
      <c r="D490" s="59"/>
      <c r="E490" s="27"/>
    </row>
    <row r="491">
      <c r="A491" s="52"/>
      <c r="B491" s="52"/>
      <c r="C491" s="27"/>
      <c r="D491" s="59"/>
      <c r="E491" s="27"/>
    </row>
    <row r="492">
      <c r="A492" s="52"/>
      <c r="B492" s="52"/>
      <c r="C492" s="27"/>
      <c r="D492" s="59"/>
      <c r="E492" s="27"/>
    </row>
    <row r="493">
      <c r="A493" s="52"/>
      <c r="B493" s="52"/>
      <c r="C493" s="27"/>
      <c r="D493" s="59"/>
      <c r="E493" s="27"/>
    </row>
    <row r="494">
      <c r="A494" s="52"/>
      <c r="B494" s="52"/>
      <c r="C494" s="27"/>
      <c r="D494" s="59"/>
      <c r="E494" s="27"/>
    </row>
    <row r="495">
      <c r="A495" s="52"/>
      <c r="B495" s="52"/>
      <c r="C495" s="27"/>
      <c r="D495" s="59"/>
      <c r="E495" s="27"/>
    </row>
    <row r="496">
      <c r="A496" s="52"/>
      <c r="B496" s="52"/>
      <c r="C496" s="27"/>
      <c r="D496" s="59"/>
      <c r="E496" s="27"/>
    </row>
    <row r="497">
      <c r="A497" s="52"/>
      <c r="B497" s="52"/>
      <c r="C497" s="27"/>
      <c r="D497" s="59"/>
      <c r="E497" s="27"/>
    </row>
    <row r="498">
      <c r="A498" s="52"/>
      <c r="B498" s="52"/>
      <c r="C498" s="27"/>
      <c r="D498" s="59"/>
      <c r="E498" s="27"/>
    </row>
    <row r="499">
      <c r="A499" s="52"/>
      <c r="B499" s="52"/>
      <c r="C499" s="27"/>
      <c r="D499" s="59"/>
      <c r="E499" s="27"/>
    </row>
    <row r="500">
      <c r="A500" s="52"/>
      <c r="B500" s="52"/>
      <c r="C500" s="27"/>
      <c r="D500" s="59"/>
      <c r="E500" s="27"/>
    </row>
    <row r="501">
      <c r="A501" s="52"/>
      <c r="B501" s="52"/>
      <c r="C501" s="27"/>
      <c r="D501" s="59"/>
      <c r="E501" s="27"/>
    </row>
    <row r="502">
      <c r="A502" s="52"/>
      <c r="B502" s="52"/>
      <c r="C502" s="27"/>
      <c r="D502" s="59"/>
      <c r="E502" s="27"/>
    </row>
    <row r="503">
      <c r="A503" s="52"/>
      <c r="B503" s="52"/>
      <c r="C503" s="27"/>
      <c r="D503" s="59"/>
      <c r="E503" s="27"/>
    </row>
    <row r="504">
      <c r="A504" s="52"/>
      <c r="B504" s="52"/>
      <c r="C504" s="27"/>
      <c r="D504" s="59"/>
      <c r="E504" s="27"/>
    </row>
    <row r="505">
      <c r="A505" s="52"/>
      <c r="B505" s="52"/>
      <c r="C505" s="27"/>
      <c r="D505" s="59"/>
      <c r="E505" s="27"/>
    </row>
    <row r="506">
      <c r="A506" s="52"/>
      <c r="B506" s="52"/>
      <c r="C506" s="27"/>
      <c r="D506" s="59"/>
      <c r="E506" s="27"/>
    </row>
    <row r="507">
      <c r="A507" s="52"/>
      <c r="B507" s="52"/>
      <c r="C507" s="27"/>
      <c r="D507" s="59"/>
      <c r="E507" s="27"/>
    </row>
    <row r="508">
      <c r="A508" s="52"/>
      <c r="B508" s="52"/>
      <c r="C508" s="27"/>
      <c r="D508" s="59"/>
      <c r="E508" s="27"/>
    </row>
    <row r="509">
      <c r="A509" s="52"/>
      <c r="B509" s="52"/>
      <c r="C509" s="27"/>
      <c r="D509" s="59"/>
      <c r="E509" s="27"/>
    </row>
    <row r="510">
      <c r="A510" s="52"/>
      <c r="B510" s="52"/>
      <c r="C510" s="27"/>
      <c r="D510" s="59"/>
      <c r="E510" s="27"/>
    </row>
    <row r="511">
      <c r="A511" s="52"/>
      <c r="B511" s="52"/>
      <c r="C511" s="27"/>
      <c r="D511" s="59"/>
      <c r="E511" s="27"/>
    </row>
    <row r="512">
      <c r="A512" s="52"/>
      <c r="B512" s="52"/>
      <c r="C512" s="27"/>
      <c r="D512" s="59"/>
      <c r="E512" s="27"/>
    </row>
    <row r="513">
      <c r="A513" s="52"/>
      <c r="B513" s="52"/>
      <c r="C513" s="27"/>
      <c r="D513" s="59"/>
      <c r="E513" s="27"/>
    </row>
    <row r="514">
      <c r="A514" s="52"/>
      <c r="B514" s="52"/>
      <c r="C514" s="27"/>
      <c r="D514" s="59"/>
      <c r="E514" s="27"/>
    </row>
    <row r="515">
      <c r="A515" s="52"/>
      <c r="B515" s="52"/>
      <c r="C515" s="27"/>
      <c r="D515" s="59"/>
      <c r="E515" s="27"/>
    </row>
    <row r="516">
      <c r="A516" s="52"/>
      <c r="B516" s="52"/>
      <c r="C516" s="27"/>
      <c r="D516" s="59"/>
      <c r="E516" s="27"/>
    </row>
    <row r="517">
      <c r="A517" s="52"/>
      <c r="B517" s="52"/>
      <c r="C517" s="27"/>
      <c r="D517" s="59"/>
      <c r="E517" s="27"/>
    </row>
    <row r="518">
      <c r="A518" s="52"/>
      <c r="B518" s="52"/>
      <c r="C518" s="27"/>
      <c r="D518" s="59"/>
      <c r="E518" s="27"/>
    </row>
    <row r="519">
      <c r="A519" s="52"/>
      <c r="B519" s="52"/>
      <c r="C519" s="27"/>
      <c r="D519" s="59"/>
      <c r="E519" s="27"/>
    </row>
    <row r="520">
      <c r="A520" s="52"/>
      <c r="B520" s="52"/>
      <c r="C520" s="27"/>
      <c r="D520" s="59"/>
      <c r="E520" s="27"/>
    </row>
    <row r="521">
      <c r="A521" s="52"/>
      <c r="B521" s="52"/>
      <c r="C521" s="27"/>
      <c r="D521" s="59"/>
      <c r="E521" s="27"/>
    </row>
    <row r="522">
      <c r="A522" s="52"/>
      <c r="B522" s="52"/>
      <c r="C522" s="27"/>
      <c r="D522" s="59"/>
      <c r="E522" s="27"/>
    </row>
    <row r="523">
      <c r="A523" s="52"/>
      <c r="B523" s="52"/>
      <c r="C523" s="27"/>
      <c r="D523" s="59"/>
      <c r="E523" s="27"/>
    </row>
    <row r="524">
      <c r="A524" s="52"/>
      <c r="B524" s="52"/>
      <c r="C524" s="27"/>
      <c r="D524" s="59"/>
      <c r="E524" s="27"/>
    </row>
    <row r="525">
      <c r="A525" s="52"/>
      <c r="B525" s="52"/>
      <c r="C525" s="27"/>
      <c r="D525" s="59"/>
      <c r="E525" s="27"/>
    </row>
    <row r="526">
      <c r="A526" s="52"/>
      <c r="B526" s="52"/>
      <c r="C526" s="27"/>
      <c r="D526" s="59"/>
      <c r="E526" s="27"/>
    </row>
    <row r="527">
      <c r="A527" s="52"/>
      <c r="B527" s="52"/>
      <c r="C527" s="27"/>
      <c r="D527" s="59"/>
      <c r="E527" s="27"/>
    </row>
    <row r="528">
      <c r="A528" s="52"/>
      <c r="B528" s="52"/>
      <c r="C528" s="27"/>
      <c r="D528" s="59"/>
      <c r="E528" s="27"/>
    </row>
    <row r="529">
      <c r="A529" s="52"/>
      <c r="B529" s="52"/>
      <c r="C529" s="27"/>
      <c r="D529" s="59"/>
      <c r="E529" s="27"/>
    </row>
    <row r="530">
      <c r="A530" s="52"/>
      <c r="B530" s="52"/>
      <c r="C530" s="27"/>
      <c r="D530" s="59"/>
      <c r="E530" s="27"/>
    </row>
    <row r="531">
      <c r="A531" s="52"/>
      <c r="B531" s="52"/>
      <c r="C531" s="27"/>
      <c r="D531" s="59"/>
      <c r="E531" s="27"/>
    </row>
    <row r="532">
      <c r="A532" s="52"/>
      <c r="B532" s="52"/>
      <c r="C532" s="27"/>
      <c r="D532" s="59"/>
      <c r="E532" s="27"/>
    </row>
    <row r="533">
      <c r="A533" s="52"/>
      <c r="B533" s="52"/>
      <c r="C533" s="27"/>
      <c r="D533" s="59"/>
      <c r="E533" s="27"/>
    </row>
    <row r="534">
      <c r="A534" s="52"/>
      <c r="B534" s="52"/>
      <c r="C534" s="27"/>
      <c r="D534" s="59"/>
      <c r="E534" s="27"/>
    </row>
    <row r="535">
      <c r="A535" s="52"/>
      <c r="B535" s="52"/>
      <c r="C535" s="27"/>
      <c r="D535" s="59"/>
      <c r="E535" s="27"/>
    </row>
    <row r="536">
      <c r="A536" s="52"/>
      <c r="B536" s="52"/>
      <c r="C536" s="27"/>
      <c r="D536" s="59"/>
      <c r="E536" s="27"/>
    </row>
    <row r="537">
      <c r="A537" s="52"/>
      <c r="B537" s="52"/>
      <c r="C537" s="27"/>
      <c r="D537" s="59"/>
      <c r="E537" s="27"/>
    </row>
    <row r="538">
      <c r="A538" s="52"/>
      <c r="B538" s="52"/>
      <c r="C538" s="27"/>
      <c r="D538" s="59"/>
      <c r="E538" s="27"/>
    </row>
    <row r="539">
      <c r="A539" s="52"/>
      <c r="B539" s="52"/>
      <c r="C539" s="27"/>
      <c r="D539" s="59"/>
      <c r="E539" s="27"/>
    </row>
    <row r="540">
      <c r="A540" s="52"/>
      <c r="B540" s="52"/>
      <c r="C540" s="27"/>
      <c r="D540" s="59"/>
      <c r="E540" s="27"/>
    </row>
    <row r="541">
      <c r="A541" s="52"/>
      <c r="B541" s="52"/>
      <c r="C541" s="27"/>
      <c r="D541" s="59"/>
      <c r="E541" s="27"/>
    </row>
    <row r="542">
      <c r="A542" s="52"/>
      <c r="B542" s="52"/>
      <c r="C542" s="27"/>
      <c r="D542" s="59"/>
      <c r="E542" s="27"/>
    </row>
    <row r="543">
      <c r="A543" s="52"/>
      <c r="B543" s="52"/>
      <c r="C543" s="27"/>
      <c r="D543" s="59"/>
      <c r="E543" s="27"/>
    </row>
    <row r="544">
      <c r="A544" s="52"/>
      <c r="B544" s="52"/>
      <c r="C544" s="27"/>
      <c r="D544" s="59"/>
      <c r="E544" s="27"/>
    </row>
    <row r="545">
      <c r="A545" s="52"/>
      <c r="B545" s="52"/>
      <c r="C545" s="27"/>
      <c r="D545" s="59"/>
      <c r="E545" s="27"/>
    </row>
    <row r="546">
      <c r="A546" s="52"/>
      <c r="B546" s="52"/>
      <c r="C546" s="27"/>
      <c r="D546" s="59"/>
      <c r="E546" s="27"/>
    </row>
    <row r="547">
      <c r="A547" s="52"/>
      <c r="B547" s="52"/>
      <c r="C547" s="27"/>
      <c r="D547" s="59"/>
      <c r="E547" s="27"/>
    </row>
    <row r="548">
      <c r="A548" s="52"/>
      <c r="B548" s="52"/>
      <c r="C548" s="27"/>
      <c r="D548" s="59"/>
      <c r="E548" s="27"/>
    </row>
    <row r="549">
      <c r="A549" s="52"/>
      <c r="B549" s="52"/>
      <c r="C549" s="27"/>
      <c r="D549" s="59"/>
      <c r="E549" s="27"/>
    </row>
    <row r="550">
      <c r="A550" s="52"/>
      <c r="B550" s="52"/>
      <c r="C550" s="27"/>
      <c r="D550" s="59"/>
      <c r="E550" s="27"/>
    </row>
    <row r="551">
      <c r="A551" s="52"/>
      <c r="B551" s="52"/>
      <c r="C551" s="27"/>
      <c r="D551" s="59"/>
      <c r="E551" s="27"/>
    </row>
    <row r="552">
      <c r="A552" s="52"/>
      <c r="B552" s="52"/>
      <c r="C552" s="27"/>
      <c r="D552" s="59"/>
      <c r="E552" s="27"/>
    </row>
    <row r="553">
      <c r="A553" s="52"/>
      <c r="B553" s="52"/>
      <c r="C553" s="27"/>
      <c r="D553" s="59"/>
      <c r="E553" s="27"/>
    </row>
    <row r="554">
      <c r="A554" s="52"/>
      <c r="B554" s="52"/>
      <c r="C554" s="27"/>
      <c r="D554" s="59"/>
      <c r="E554" s="27"/>
    </row>
    <row r="555">
      <c r="A555" s="52"/>
      <c r="B555" s="52"/>
      <c r="C555" s="27"/>
      <c r="D555" s="59"/>
      <c r="E555" s="27"/>
    </row>
    <row r="556">
      <c r="A556" s="52"/>
      <c r="B556" s="52"/>
      <c r="C556" s="27"/>
      <c r="D556" s="59"/>
      <c r="E556" s="27"/>
    </row>
    <row r="557">
      <c r="A557" s="52"/>
      <c r="B557" s="52"/>
      <c r="C557" s="27"/>
      <c r="D557" s="59"/>
      <c r="E557" s="27"/>
    </row>
    <row r="558">
      <c r="A558" s="52"/>
      <c r="B558" s="52"/>
      <c r="C558" s="27"/>
      <c r="D558" s="59"/>
      <c r="E558" s="27"/>
    </row>
    <row r="559">
      <c r="A559" s="52"/>
      <c r="B559" s="52"/>
      <c r="C559" s="27"/>
      <c r="D559" s="59"/>
      <c r="E559" s="27"/>
    </row>
    <row r="560">
      <c r="A560" s="52"/>
      <c r="B560" s="52"/>
      <c r="C560" s="27"/>
      <c r="D560" s="59"/>
      <c r="E560" s="27"/>
    </row>
    <row r="561">
      <c r="A561" s="52"/>
      <c r="B561" s="52"/>
      <c r="C561" s="27"/>
      <c r="D561" s="59"/>
      <c r="E561" s="27"/>
    </row>
    <row r="562">
      <c r="A562" s="52"/>
      <c r="B562" s="52"/>
      <c r="C562" s="27"/>
      <c r="D562" s="59"/>
      <c r="E562" s="27"/>
    </row>
    <row r="563">
      <c r="A563" s="52"/>
      <c r="B563" s="52"/>
      <c r="C563" s="27"/>
      <c r="D563" s="59"/>
      <c r="E563" s="27"/>
    </row>
    <row r="564">
      <c r="A564" s="52"/>
      <c r="B564" s="52"/>
      <c r="C564" s="27"/>
      <c r="D564" s="59"/>
      <c r="E564" s="27"/>
    </row>
    <row r="565">
      <c r="A565" s="52"/>
      <c r="B565" s="52"/>
      <c r="C565" s="27"/>
      <c r="D565" s="59"/>
      <c r="E565" s="27"/>
    </row>
    <row r="566">
      <c r="A566" s="52"/>
      <c r="B566" s="52"/>
      <c r="C566" s="27"/>
      <c r="D566" s="59"/>
      <c r="E566" s="27"/>
    </row>
    <row r="567">
      <c r="A567" s="52"/>
      <c r="B567" s="52"/>
      <c r="C567" s="27"/>
      <c r="D567" s="59"/>
      <c r="E567" s="27"/>
    </row>
    <row r="568">
      <c r="A568" s="52"/>
      <c r="B568" s="52"/>
      <c r="C568" s="27"/>
      <c r="D568" s="59"/>
      <c r="E568" s="27"/>
    </row>
    <row r="569">
      <c r="A569" s="52"/>
      <c r="B569" s="52"/>
      <c r="C569" s="27"/>
      <c r="D569" s="59"/>
      <c r="E569" s="27"/>
    </row>
    <row r="570">
      <c r="A570" s="52"/>
      <c r="B570" s="52"/>
      <c r="C570" s="27"/>
      <c r="D570" s="59"/>
      <c r="E570" s="27"/>
    </row>
    <row r="571">
      <c r="A571" s="52"/>
      <c r="B571" s="52"/>
      <c r="C571" s="27"/>
      <c r="D571" s="59"/>
      <c r="E571" s="27"/>
    </row>
    <row r="572">
      <c r="A572" s="52"/>
      <c r="B572" s="52"/>
      <c r="C572" s="27"/>
      <c r="D572" s="59"/>
      <c r="E572" s="27"/>
    </row>
    <row r="573">
      <c r="A573" s="52"/>
      <c r="B573" s="52"/>
      <c r="C573" s="27"/>
      <c r="D573" s="59"/>
      <c r="E573" s="27"/>
    </row>
    <row r="574">
      <c r="A574" s="52"/>
      <c r="B574" s="52"/>
      <c r="C574" s="27"/>
      <c r="D574" s="59"/>
      <c r="E574" s="27"/>
    </row>
    <row r="575">
      <c r="A575" s="52"/>
      <c r="B575" s="52"/>
      <c r="C575" s="27"/>
      <c r="D575" s="59"/>
      <c r="E575" s="27"/>
    </row>
    <row r="576">
      <c r="A576" s="52"/>
      <c r="B576" s="52"/>
      <c r="C576" s="27"/>
      <c r="D576" s="59"/>
      <c r="E576" s="27"/>
    </row>
    <row r="577">
      <c r="A577" s="52"/>
      <c r="B577" s="52"/>
      <c r="C577" s="27"/>
      <c r="D577" s="59"/>
      <c r="E577" s="27"/>
    </row>
    <row r="578">
      <c r="A578" s="52"/>
      <c r="B578" s="52"/>
      <c r="C578" s="27"/>
      <c r="D578" s="59"/>
      <c r="E578" s="27"/>
    </row>
    <row r="579">
      <c r="A579" s="52"/>
      <c r="B579" s="52"/>
      <c r="C579" s="27"/>
      <c r="D579" s="59"/>
      <c r="E579" s="27"/>
    </row>
    <row r="580">
      <c r="A580" s="52"/>
      <c r="B580" s="52"/>
      <c r="C580" s="27"/>
      <c r="D580" s="59"/>
      <c r="E580" s="27"/>
    </row>
    <row r="581">
      <c r="A581" s="52"/>
      <c r="B581" s="52"/>
      <c r="C581" s="27"/>
      <c r="D581" s="59"/>
      <c r="E581" s="27"/>
    </row>
    <row r="582">
      <c r="A582" s="52"/>
      <c r="B582" s="52"/>
      <c r="C582" s="27"/>
      <c r="D582" s="59"/>
      <c r="E582" s="27"/>
    </row>
    <row r="583">
      <c r="A583" s="52"/>
      <c r="B583" s="52"/>
      <c r="C583" s="27"/>
      <c r="D583" s="59"/>
      <c r="E583" s="27"/>
    </row>
    <row r="584">
      <c r="A584" s="52"/>
      <c r="B584" s="52"/>
      <c r="C584" s="27"/>
      <c r="D584" s="59"/>
      <c r="E584" s="27"/>
    </row>
    <row r="585">
      <c r="A585" s="52"/>
      <c r="B585" s="52"/>
      <c r="C585" s="27"/>
      <c r="D585" s="59"/>
      <c r="E585" s="27"/>
    </row>
    <row r="586">
      <c r="A586" s="52"/>
      <c r="B586" s="52"/>
      <c r="C586" s="27"/>
      <c r="D586" s="59"/>
      <c r="E586" s="27"/>
    </row>
    <row r="587">
      <c r="A587" s="52"/>
      <c r="B587" s="52"/>
      <c r="C587" s="27"/>
      <c r="D587" s="59"/>
      <c r="E587" s="27"/>
    </row>
    <row r="588">
      <c r="A588" s="52"/>
      <c r="B588" s="52"/>
      <c r="C588" s="27"/>
      <c r="D588" s="59"/>
      <c r="E588" s="27"/>
    </row>
    <row r="589">
      <c r="A589" s="52"/>
      <c r="B589" s="52"/>
      <c r="C589" s="27"/>
      <c r="D589" s="59"/>
      <c r="E589" s="27"/>
    </row>
    <row r="590">
      <c r="A590" s="52"/>
      <c r="B590" s="52"/>
      <c r="C590" s="27"/>
      <c r="D590" s="59"/>
      <c r="E590" s="27"/>
    </row>
    <row r="591">
      <c r="A591" s="52"/>
      <c r="B591" s="52"/>
      <c r="C591" s="27"/>
      <c r="D591" s="59"/>
      <c r="E591" s="27"/>
    </row>
    <row r="592">
      <c r="A592" s="52"/>
      <c r="B592" s="52"/>
      <c r="C592" s="27"/>
      <c r="D592" s="59"/>
      <c r="E592" s="27"/>
    </row>
    <row r="593">
      <c r="A593" s="52"/>
      <c r="B593" s="52"/>
      <c r="C593" s="27"/>
      <c r="D593" s="59"/>
      <c r="E593" s="27"/>
    </row>
    <row r="594">
      <c r="A594" s="52"/>
      <c r="B594" s="52"/>
      <c r="C594" s="27"/>
      <c r="D594" s="59"/>
      <c r="E594" s="27"/>
    </row>
    <row r="595">
      <c r="A595" s="52"/>
      <c r="B595" s="52"/>
      <c r="C595" s="27"/>
      <c r="D595" s="59"/>
      <c r="E595" s="27"/>
    </row>
    <row r="596">
      <c r="A596" s="52"/>
      <c r="B596" s="52"/>
      <c r="C596" s="27"/>
      <c r="D596" s="59"/>
      <c r="E596" s="27"/>
    </row>
    <row r="597">
      <c r="A597" s="52"/>
      <c r="B597" s="52"/>
      <c r="C597" s="27"/>
      <c r="D597" s="59"/>
      <c r="E597" s="27"/>
    </row>
    <row r="598">
      <c r="A598" s="52"/>
      <c r="B598" s="52"/>
      <c r="C598" s="27"/>
      <c r="D598" s="59"/>
      <c r="E598" s="27"/>
    </row>
    <row r="599">
      <c r="A599" s="52"/>
      <c r="B599" s="52"/>
      <c r="C599" s="27"/>
      <c r="D599" s="59"/>
      <c r="E599" s="27"/>
    </row>
    <row r="600">
      <c r="A600" s="52"/>
      <c r="B600" s="52"/>
      <c r="C600" s="27"/>
      <c r="D600" s="59"/>
      <c r="E600" s="27"/>
    </row>
    <row r="601">
      <c r="A601" s="52"/>
      <c r="B601" s="52"/>
      <c r="C601" s="27"/>
      <c r="D601" s="59"/>
      <c r="E601" s="27"/>
    </row>
    <row r="602">
      <c r="A602" s="52"/>
      <c r="B602" s="52"/>
      <c r="C602" s="27"/>
      <c r="D602" s="59"/>
      <c r="E602" s="27"/>
    </row>
    <row r="603">
      <c r="A603" s="52"/>
      <c r="B603" s="52"/>
      <c r="C603" s="27"/>
      <c r="D603" s="59"/>
      <c r="E603" s="27"/>
    </row>
    <row r="604">
      <c r="A604" s="52"/>
      <c r="B604" s="52"/>
      <c r="C604" s="27"/>
      <c r="D604" s="59"/>
      <c r="E604" s="27"/>
    </row>
    <row r="605">
      <c r="A605" s="52"/>
      <c r="B605" s="52"/>
      <c r="C605" s="27"/>
      <c r="D605" s="59"/>
      <c r="E605" s="27"/>
    </row>
    <row r="606">
      <c r="A606" s="52"/>
      <c r="B606" s="52"/>
      <c r="C606" s="27"/>
      <c r="D606" s="59"/>
      <c r="E606" s="27"/>
    </row>
    <row r="607">
      <c r="A607" s="52"/>
      <c r="B607" s="52"/>
      <c r="C607" s="27"/>
      <c r="D607" s="59"/>
      <c r="E607" s="27"/>
    </row>
    <row r="608">
      <c r="A608" s="52"/>
      <c r="B608" s="52"/>
      <c r="C608" s="27"/>
      <c r="D608" s="59"/>
      <c r="E608" s="27"/>
    </row>
    <row r="609">
      <c r="A609" s="52"/>
      <c r="B609" s="52"/>
      <c r="C609" s="27"/>
      <c r="D609" s="59"/>
      <c r="E609" s="27"/>
    </row>
    <row r="610">
      <c r="A610" s="52"/>
      <c r="B610" s="52"/>
      <c r="C610" s="27"/>
      <c r="D610" s="59"/>
      <c r="E610" s="27"/>
    </row>
    <row r="611">
      <c r="A611" s="52"/>
      <c r="B611" s="52"/>
      <c r="C611" s="27"/>
      <c r="D611" s="59"/>
      <c r="E611" s="27"/>
    </row>
    <row r="612">
      <c r="A612" s="52"/>
      <c r="B612" s="52"/>
      <c r="C612" s="27"/>
      <c r="D612" s="59"/>
      <c r="E612" s="27"/>
    </row>
    <row r="613">
      <c r="A613" s="52"/>
      <c r="B613" s="52"/>
      <c r="C613" s="27"/>
      <c r="D613" s="59"/>
      <c r="E613" s="27"/>
    </row>
    <row r="614">
      <c r="A614" s="52"/>
      <c r="B614" s="52"/>
      <c r="C614" s="27"/>
      <c r="D614" s="59"/>
      <c r="E614" s="27"/>
    </row>
    <row r="615">
      <c r="A615" s="52"/>
      <c r="B615" s="52"/>
      <c r="C615" s="27"/>
      <c r="D615" s="59"/>
      <c r="E615" s="27"/>
    </row>
    <row r="616">
      <c r="A616" s="52"/>
      <c r="B616" s="52"/>
      <c r="C616" s="27"/>
      <c r="D616" s="59"/>
      <c r="E616" s="27"/>
    </row>
    <row r="617">
      <c r="A617" s="52"/>
      <c r="B617" s="52"/>
      <c r="C617" s="27"/>
      <c r="D617" s="59"/>
      <c r="E617" s="27"/>
    </row>
    <row r="618">
      <c r="A618" s="52"/>
      <c r="B618" s="52"/>
      <c r="C618" s="27"/>
      <c r="D618" s="59"/>
      <c r="E618" s="27"/>
    </row>
    <row r="619">
      <c r="A619" s="52"/>
      <c r="B619" s="52"/>
      <c r="C619" s="27"/>
      <c r="D619" s="59"/>
      <c r="E619" s="27"/>
    </row>
    <row r="620">
      <c r="A620" s="52"/>
      <c r="B620" s="52"/>
      <c r="C620" s="27"/>
      <c r="D620" s="59"/>
      <c r="E620" s="27"/>
    </row>
    <row r="621">
      <c r="A621" s="52"/>
      <c r="B621" s="52"/>
      <c r="C621" s="27"/>
      <c r="D621" s="59"/>
      <c r="E621" s="27"/>
    </row>
    <row r="622">
      <c r="A622" s="52"/>
      <c r="B622" s="52"/>
      <c r="C622" s="27"/>
      <c r="D622" s="59"/>
      <c r="E622" s="27"/>
    </row>
    <row r="623">
      <c r="A623" s="52"/>
      <c r="B623" s="52"/>
      <c r="C623" s="27"/>
      <c r="D623" s="59"/>
      <c r="E623" s="27"/>
    </row>
    <row r="624">
      <c r="A624" s="52"/>
      <c r="B624" s="52"/>
      <c r="C624" s="27"/>
      <c r="D624" s="59"/>
      <c r="E624" s="27"/>
    </row>
    <row r="625">
      <c r="A625" s="52"/>
      <c r="B625" s="52"/>
      <c r="C625" s="27"/>
      <c r="D625" s="59"/>
      <c r="E625" s="27"/>
    </row>
    <row r="626">
      <c r="A626" s="52"/>
      <c r="B626" s="52"/>
      <c r="C626" s="27"/>
      <c r="D626" s="59"/>
      <c r="E626" s="27"/>
    </row>
    <row r="627">
      <c r="A627" s="52"/>
      <c r="B627" s="52"/>
      <c r="C627" s="27"/>
      <c r="D627" s="59"/>
      <c r="E627" s="27"/>
    </row>
    <row r="628">
      <c r="A628" s="52"/>
      <c r="B628" s="52"/>
      <c r="C628" s="27"/>
      <c r="D628" s="59"/>
      <c r="E628" s="27"/>
    </row>
    <row r="629">
      <c r="A629" s="52"/>
      <c r="B629" s="52"/>
      <c r="C629" s="27"/>
      <c r="D629" s="59"/>
      <c r="E629" s="27"/>
    </row>
    <row r="630">
      <c r="A630" s="52"/>
      <c r="B630" s="52"/>
      <c r="C630" s="27"/>
      <c r="D630" s="59"/>
      <c r="E630" s="27"/>
    </row>
    <row r="631">
      <c r="A631" s="52"/>
      <c r="B631" s="52"/>
      <c r="C631" s="27"/>
      <c r="D631" s="59"/>
      <c r="E631" s="27"/>
    </row>
    <row r="632">
      <c r="A632" s="52"/>
      <c r="B632" s="52"/>
      <c r="C632" s="27"/>
      <c r="D632" s="59"/>
      <c r="E632" s="27"/>
    </row>
    <row r="633">
      <c r="A633" s="52"/>
      <c r="B633" s="52"/>
      <c r="C633" s="27"/>
      <c r="D633" s="59"/>
      <c r="E633" s="27"/>
    </row>
    <row r="634">
      <c r="A634" s="52"/>
      <c r="B634" s="52"/>
      <c r="C634" s="27"/>
      <c r="D634" s="59"/>
      <c r="E634" s="27"/>
    </row>
    <row r="635">
      <c r="A635" s="52"/>
      <c r="B635" s="52"/>
      <c r="C635" s="27"/>
      <c r="D635" s="59"/>
      <c r="E635" s="27"/>
    </row>
    <row r="636">
      <c r="A636" s="52"/>
      <c r="B636" s="52"/>
      <c r="C636" s="27"/>
      <c r="D636" s="59"/>
      <c r="E636" s="27"/>
    </row>
    <row r="637">
      <c r="A637" s="52"/>
      <c r="B637" s="52"/>
      <c r="C637" s="27"/>
      <c r="D637" s="59"/>
      <c r="E637" s="27"/>
    </row>
    <row r="638">
      <c r="A638" s="52"/>
      <c r="B638" s="52"/>
      <c r="C638" s="27"/>
      <c r="D638" s="59"/>
      <c r="E638" s="27"/>
    </row>
    <row r="639">
      <c r="A639" s="52"/>
      <c r="B639" s="52"/>
      <c r="C639" s="27"/>
      <c r="D639" s="59"/>
      <c r="E639" s="27"/>
    </row>
    <row r="640">
      <c r="A640" s="52"/>
      <c r="B640" s="52"/>
      <c r="C640" s="27"/>
      <c r="D640" s="59"/>
      <c r="E640" s="27"/>
    </row>
    <row r="641">
      <c r="A641" s="52"/>
      <c r="B641" s="52"/>
      <c r="C641" s="27"/>
      <c r="D641" s="59"/>
      <c r="E641" s="27"/>
    </row>
    <row r="642">
      <c r="A642" s="52"/>
      <c r="B642" s="52"/>
      <c r="C642" s="27"/>
      <c r="D642" s="59"/>
      <c r="E642" s="27"/>
    </row>
    <row r="643">
      <c r="A643" s="52"/>
      <c r="B643" s="52"/>
      <c r="C643" s="27"/>
      <c r="D643" s="59"/>
      <c r="E643" s="27"/>
    </row>
    <row r="644">
      <c r="A644" s="52"/>
      <c r="B644" s="52"/>
      <c r="C644" s="27"/>
      <c r="D644" s="59"/>
      <c r="E644" s="27"/>
    </row>
    <row r="645">
      <c r="A645" s="52"/>
      <c r="B645" s="52"/>
      <c r="C645" s="27"/>
      <c r="D645" s="59"/>
      <c r="E645" s="27"/>
    </row>
    <row r="646">
      <c r="A646" s="52"/>
      <c r="B646" s="52"/>
      <c r="C646" s="27"/>
      <c r="D646" s="59"/>
      <c r="E646" s="27"/>
    </row>
    <row r="647">
      <c r="A647" s="52"/>
      <c r="B647" s="52"/>
      <c r="C647" s="27"/>
      <c r="D647" s="59"/>
      <c r="E647" s="27"/>
    </row>
    <row r="648">
      <c r="A648" s="52"/>
      <c r="B648" s="52"/>
      <c r="C648" s="27"/>
      <c r="D648" s="59"/>
      <c r="E648" s="27"/>
    </row>
    <row r="649">
      <c r="A649" s="52"/>
      <c r="B649" s="52"/>
      <c r="C649" s="27"/>
      <c r="D649" s="59"/>
      <c r="E649" s="27"/>
    </row>
    <row r="650">
      <c r="A650" s="52"/>
      <c r="B650" s="52"/>
      <c r="C650" s="27"/>
      <c r="D650" s="59"/>
      <c r="E650" s="27"/>
    </row>
    <row r="651">
      <c r="A651" s="52"/>
      <c r="B651" s="52"/>
      <c r="C651" s="27"/>
      <c r="D651" s="59"/>
      <c r="E651" s="27"/>
    </row>
    <row r="652">
      <c r="A652" s="52"/>
      <c r="B652" s="52"/>
      <c r="C652" s="27"/>
      <c r="D652" s="59"/>
      <c r="E652" s="27"/>
    </row>
    <row r="653">
      <c r="A653" s="52"/>
      <c r="B653" s="52"/>
      <c r="C653" s="27"/>
      <c r="D653" s="59"/>
      <c r="E653" s="27"/>
    </row>
    <row r="654">
      <c r="A654" s="52"/>
      <c r="B654" s="52"/>
      <c r="C654" s="27"/>
      <c r="D654" s="59"/>
      <c r="E654" s="27"/>
    </row>
    <row r="655">
      <c r="A655" s="52"/>
      <c r="B655" s="52"/>
      <c r="C655" s="27"/>
      <c r="D655" s="59"/>
      <c r="E655" s="27"/>
    </row>
    <row r="656">
      <c r="A656" s="52"/>
      <c r="B656" s="52"/>
      <c r="C656" s="27"/>
      <c r="D656" s="59"/>
      <c r="E656" s="27"/>
    </row>
    <row r="657">
      <c r="A657" s="52"/>
      <c r="B657" s="52"/>
      <c r="C657" s="27"/>
      <c r="D657" s="59"/>
      <c r="E657" s="27"/>
    </row>
    <row r="658">
      <c r="A658" s="52"/>
      <c r="B658" s="52"/>
      <c r="C658" s="27"/>
      <c r="D658" s="59"/>
      <c r="E658" s="27"/>
    </row>
    <row r="659">
      <c r="A659" s="52"/>
      <c r="B659" s="52"/>
      <c r="C659" s="27"/>
      <c r="D659" s="59"/>
      <c r="E659" s="27"/>
    </row>
    <row r="660">
      <c r="A660" s="52"/>
      <c r="B660" s="52"/>
      <c r="C660" s="27"/>
      <c r="D660" s="59"/>
      <c r="E660" s="27"/>
    </row>
    <row r="661">
      <c r="A661" s="52"/>
      <c r="B661" s="52"/>
      <c r="C661" s="27"/>
      <c r="D661" s="59"/>
      <c r="E661" s="27"/>
    </row>
    <row r="662">
      <c r="A662" s="52"/>
      <c r="B662" s="52"/>
      <c r="C662" s="27"/>
      <c r="D662" s="59"/>
      <c r="E662" s="27"/>
    </row>
    <row r="663">
      <c r="A663" s="52"/>
      <c r="B663" s="52"/>
      <c r="C663" s="27"/>
      <c r="D663" s="59"/>
      <c r="E663" s="27"/>
    </row>
    <row r="664">
      <c r="A664" s="52"/>
      <c r="B664" s="52"/>
      <c r="C664" s="27"/>
      <c r="D664" s="59"/>
      <c r="E664" s="27"/>
    </row>
    <row r="665">
      <c r="A665" s="52"/>
      <c r="B665" s="52"/>
      <c r="C665" s="27"/>
      <c r="D665" s="59"/>
      <c r="E665" s="27"/>
    </row>
    <row r="666">
      <c r="A666" s="52"/>
      <c r="B666" s="52"/>
      <c r="C666" s="27"/>
      <c r="D666" s="59"/>
      <c r="E666" s="27"/>
    </row>
    <row r="667">
      <c r="A667" s="52"/>
      <c r="B667" s="52"/>
      <c r="C667" s="27"/>
      <c r="D667" s="59"/>
      <c r="E667" s="27"/>
    </row>
    <row r="668">
      <c r="A668" s="52"/>
      <c r="B668" s="52"/>
      <c r="C668" s="27"/>
      <c r="D668" s="59"/>
      <c r="E668" s="27"/>
    </row>
    <row r="669">
      <c r="A669" s="52"/>
      <c r="B669" s="52"/>
      <c r="C669" s="27"/>
      <c r="D669" s="59"/>
      <c r="E669" s="27"/>
    </row>
    <row r="670">
      <c r="A670" s="52"/>
      <c r="B670" s="52"/>
      <c r="C670" s="27"/>
      <c r="D670" s="59"/>
      <c r="E670" s="27"/>
    </row>
    <row r="671">
      <c r="A671" s="52"/>
      <c r="B671" s="52"/>
      <c r="C671" s="27"/>
      <c r="D671" s="59"/>
      <c r="E671" s="27"/>
    </row>
    <row r="672">
      <c r="A672" s="52"/>
      <c r="B672" s="52"/>
      <c r="C672" s="27"/>
      <c r="D672" s="59"/>
      <c r="E672" s="27"/>
    </row>
    <row r="673">
      <c r="A673" s="52"/>
      <c r="B673" s="52"/>
      <c r="C673" s="27"/>
      <c r="D673" s="59"/>
      <c r="E673" s="27"/>
    </row>
    <row r="674">
      <c r="A674" s="52"/>
      <c r="B674" s="52"/>
      <c r="C674" s="27"/>
      <c r="D674" s="59"/>
      <c r="E674" s="27"/>
    </row>
    <row r="675">
      <c r="A675" s="52"/>
      <c r="B675" s="52"/>
      <c r="C675" s="27"/>
      <c r="D675" s="59"/>
      <c r="E675" s="27"/>
    </row>
    <row r="676">
      <c r="A676" s="52"/>
      <c r="B676" s="52"/>
      <c r="C676" s="27"/>
      <c r="D676" s="59"/>
      <c r="E676" s="27"/>
    </row>
    <row r="677">
      <c r="A677" s="52"/>
      <c r="B677" s="52"/>
      <c r="C677" s="27"/>
      <c r="D677" s="59"/>
      <c r="E677" s="27"/>
    </row>
    <row r="678">
      <c r="A678" s="52"/>
      <c r="B678" s="52"/>
      <c r="C678" s="27"/>
      <c r="D678" s="59"/>
      <c r="E678" s="27"/>
    </row>
    <row r="679">
      <c r="A679" s="52"/>
      <c r="B679" s="52"/>
      <c r="C679" s="27"/>
      <c r="D679" s="59"/>
      <c r="E679" s="27"/>
    </row>
    <row r="680">
      <c r="A680" s="52"/>
      <c r="B680" s="52"/>
      <c r="C680" s="27"/>
      <c r="D680" s="59"/>
      <c r="E680" s="27"/>
    </row>
    <row r="681">
      <c r="A681" s="52"/>
      <c r="B681" s="52"/>
      <c r="C681" s="27"/>
      <c r="D681" s="59"/>
      <c r="E681" s="27"/>
    </row>
    <row r="682">
      <c r="A682" s="52"/>
      <c r="B682" s="52"/>
      <c r="C682" s="27"/>
      <c r="D682" s="59"/>
      <c r="E682" s="27"/>
    </row>
    <row r="683">
      <c r="A683" s="52"/>
      <c r="B683" s="52"/>
      <c r="C683" s="27"/>
      <c r="D683" s="59"/>
      <c r="E683" s="27"/>
    </row>
    <row r="684">
      <c r="A684" s="52"/>
      <c r="B684" s="52"/>
      <c r="C684" s="27"/>
      <c r="D684" s="59"/>
      <c r="E684" s="27"/>
    </row>
    <row r="685">
      <c r="A685" s="52"/>
      <c r="B685" s="52"/>
      <c r="C685" s="27"/>
      <c r="D685" s="59"/>
      <c r="E685" s="27"/>
    </row>
    <row r="686">
      <c r="A686" s="52"/>
      <c r="B686" s="52"/>
      <c r="C686" s="27"/>
      <c r="D686" s="59"/>
      <c r="E686" s="27"/>
    </row>
    <row r="687">
      <c r="A687" s="52"/>
      <c r="B687" s="52"/>
      <c r="C687" s="27"/>
      <c r="D687" s="59"/>
      <c r="E687" s="27"/>
    </row>
    <row r="688">
      <c r="A688" s="52"/>
      <c r="B688" s="52"/>
      <c r="C688" s="27"/>
      <c r="D688" s="59"/>
      <c r="E688" s="27"/>
    </row>
    <row r="689">
      <c r="A689" s="52"/>
      <c r="B689" s="52"/>
      <c r="C689" s="27"/>
      <c r="D689" s="59"/>
      <c r="E689" s="27"/>
    </row>
    <row r="690">
      <c r="A690" s="52"/>
      <c r="B690" s="52"/>
      <c r="C690" s="27"/>
      <c r="D690" s="59"/>
      <c r="E690" s="27"/>
    </row>
    <row r="691">
      <c r="A691" s="52"/>
      <c r="B691" s="52"/>
      <c r="C691" s="27"/>
      <c r="D691" s="59"/>
      <c r="E691" s="27"/>
    </row>
    <row r="692">
      <c r="A692" s="52"/>
      <c r="B692" s="52"/>
      <c r="C692" s="27"/>
      <c r="D692" s="59"/>
      <c r="E692" s="27"/>
    </row>
    <row r="693">
      <c r="A693" s="52"/>
      <c r="B693" s="52"/>
      <c r="C693" s="27"/>
      <c r="D693" s="59"/>
      <c r="E693" s="27"/>
    </row>
    <row r="694">
      <c r="A694" s="52"/>
      <c r="B694" s="52"/>
      <c r="C694" s="27"/>
      <c r="D694" s="59"/>
      <c r="E694" s="27"/>
    </row>
    <row r="695">
      <c r="A695" s="52"/>
      <c r="B695" s="52"/>
      <c r="C695" s="27"/>
      <c r="D695" s="59"/>
      <c r="E695" s="27"/>
    </row>
    <row r="696">
      <c r="A696" s="52"/>
      <c r="B696" s="52"/>
      <c r="C696" s="27"/>
      <c r="D696" s="59"/>
      <c r="E696" s="27"/>
    </row>
    <row r="697">
      <c r="A697" s="52"/>
      <c r="B697" s="52"/>
      <c r="C697" s="27"/>
      <c r="D697" s="59"/>
      <c r="E697" s="27"/>
    </row>
    <row r="698">
      <c r="A698" s="52"/>
      <c r="B698" s="52"/>
      <c r="C698" s="27"/>
      <c r="D698" s="59"/>
      <c r="E698" s="27"/>
    </row>
    <row r="699">
      <c r="A699" s="52"/>
      <c r="B699" s="52"/>
      <c r="C699" s="27"/>
      <c r="D699" s="59"/>
      <c r="E699" s="27"/>
    </row>
    <row r="700">
      <c r="A700" s="52"/>
      <c r="B700" s="52"/>
      <c r="C700" s="27"/>
      <c r="D700" s="59"/>
      <c r="E700" s="27"/>
    </row>
    <row r="701">
      <c r="A701" s="52"/>
      <c r="B701" s="52"/>
      <c r="C701" s="27"/>
      <c r="D701" s="59"/>
      <c r="E701" s="27"/>
    </row>
    <row r="702">
      <c r="A702" s="52"/>
      <c r="B702" s="52"/>
      <c r="C702" s="27"/>
      <c r="D702" s="59"/>
      <c r="E702" s="27"/>
    </row>
    <row r="703">
      <c r="A703" s="52"/>
      <c r="B703" s="52"/>
      <c r="C703" s="27"/>
      <c r="D703" s="59"/>
      <c r="E703" s="27"/>
    </row>
    <row r="704">
      <c r="A704" s="52"/>
      <c r="B704" s="52"/>
      <c r="C704" s="27"/>
      <c r="D704" s="59"/>
      <c r="E704" s="27"/>
    </row>
    <row r="705">
      <c r="A705" s="52"/>
      <c r="B705" s="52"/>
      <c r="C705" s="27"/>
      <c r="D705" s="59"/>
      <c r="E705" s="27"/>
    </row>
    <row r="706">
      <c r="A706" s="52"/>
      <c r="B706" s="52"/>
      <c r="C706" s="27"/>
      <c r="D706" s="59"/>
      <c r="E706" s="27"/>
    </row>
    <row r="707">
      <c r="A707" s="52"/>
      <c r="B707" s="52"/>
      <c r="C707" s="27"/>
      <c r="D707" s="59"/>
      <c r="E707" s="27"/>
    </row>
    <row r="708">
      <c r="A708" s="52"/>
      <c r="B708" s="52"/>
      <c r="C708" s="27"/>
      <c r="D708" s="59"/>
      <c r="E708" s="27"/>
    </row>
    <row r="709">
      <c r="A709" s="52"/>
      <c r="B709" s="52"/>
      <c r="C709" s="27"/>
      <c r="D709" s="59"/>
      <c r="E709" s="27"/>
    </row>
    <row r="710">
      <c r="A710" s="52"/>
      <c r="B710" s="52"/>
      <c r="C710" s="27"/>
      <c r="D710" s="59"/>
      <c r="E710" s="27"/>
    </row>
    <row r="711">
      <c r="A711" s="52"/>
      <c r="B711" s="52"/>
      <c r="C711" s="27"/>
      <c r="D711" s="59"/>
      <c r="E711" s="27"/>
    </row>
    <row r="712">
      <c r="A712" s="52"/>
      <c r="B712" s="52"/>
      <c r="C712" s="27"/>
      <c r="D712" s="59"/>
      <c r="E712" s="27"/>
    </row>
    <row r="713">
      <c r="A713" s="52"/>
      <c r="B713" s="52"/>
      <c r="C713" s="27"/>
      <c r="D713" s="59"/>
      <c r="E713" s="27"/>
    </row>
    <row r="714">
      <c r="A714" s="52"/>
      <c r="B714" s="52"/>
      <c r="C714" s="27"/>
      <c r="D714" s="59"/>
      <c r="E714" s="27"/>
    </row>
    <row r="715">
      <c r="A715" s="52"/>
      <c r="B715" s="52"/>
      <c r="C715" s="27"/>
      <c r="D715" s="59"/>
      <c r="E715" s="27"/>
    </row>
    <row r="716">
      <c r="A716" s="52"/>
      <c r="B716" s="52"/>
      <c r="C716" s="27"/>
      <c r="D716" s="59"/>
      <c r="E716" s="27"/>
    </row>
    <row r="717">
      <c r="A717" s="52"/>
      <c r="B717" s="52"/>
      <c r="C717" s="27"/>
      <c r="D717" s="59"/>
      <c r="E717" s="27"/>
    </row>
    <row r="718">
      <c r="A718" s="52"/>
      <c r="B718" s="52"/>
      <c r="C718" s="27"/>
      <c r="D718" s="59"/>
      <c r="E718" s="27"/>
    </row>
    <row r="719">
      <c r="A719" s="52"/>
      <c r="B719" s="52"/>
      <c r="C719" s="27"/>
      <c r="D719" s="59"/>
      <c r="E719" s="27"/>
    </row>
    <row r="720">
      <c r="A720" s="52"/>
      <c r="B720" s="52"/>
      <c r="C720" s="27"/>
      <c r="D720" s="59"/>
      <c r="E720" s="27"/>
    </row>
    <row r="721">
      <c r="A721" s="52"/>
      <c r="B721" s="52"/>
      <c r="C721" s="27"/>
      <c r="D721" s="59"/>
      <c r="E721" s="27"/>
    </row>
    <row r="722">
      <c r="A722" s="52"/>
      <c r="B722" s="52"/>
      <c r="C722" s="27"/>
      <c r="D722" s="59"/>
      <c r="E722" s="27"/>
    </row>
    <row r="723">
      <c r="A723" s="52"/>
      <c r="B723" s="52"/>
      <c r="C723" s="27"/>
      <c r="D723" s="59"/>
      <c r="E723" s="27"/>
    </row>
    <row r="724">
      <c r="A724" s="52"/>
      <c r="B724" s="52"/>
      <c r="C724" s="27"/>
      <c r="D724" s="59"/>
      <c r="E724" s="27"/>
    </row>
    <row r="725">
      <c r="A725" s="52"/>
      <c r="B725" s="52"/>
      <c r="C725" s="27"/>
      <c r="D725" s="59"/>
      <c r="E725" s="27"/>
    </row>
    <row r="726">
      <c r="A726" s="52"/>
      <c r="B726" s="52"/>
      <c r="C726" s="27"/>
      <c r="D726" s="59"/>
      <c r="E726" s="27"/>
    </row>
    <row r="727">
      <c r="A727" s="52"/>
      <c r="B727" s="52"/>
      <c r="C727" s="27"/>
      <c r="D727" s="59"/>
      <c r="E727" s="27"/>
    </row>
    <row r="728">
      <c r="A728" s="52"/>
      <c r="B728" s="52"/>
      <c r="C728" s="27"/>
      <c r="D728" s="59"/>
      <c r="E728" s="27"/>
    </row>
    <row r="729">
      <c r="A729" s="52"/>
      <c r="B729" s="52"/>
      <c r="C729" s="27"/>
      <c r="D729" s="59"/>
      <c r="E729" s="27"/>
    </row>
    <row r="730">
      <c r="A730" s="52"/>
      <c r="B730" s="52"/>
      <c r="C730" s="27"/>
      <c r="D730" s="59"/>
      <c r="E730" s="27"/>
    </row>
    <row r="731">
      <c r="A731" s="52"/>
      <c r="B731" s="52"/>
      <c r="C731" s="27"/>
      <c r="D731" s="59"/>
      <c r="E731" s="27"/>
    </row>
    <row r="732">
      <c r="A732" s="52"/>
      <c r="B732" s="52"/>
      <c r="C732" s="27"/>
      <c r="D732" s="59"/>
      <c r="E732" s="27"/>
    </row>
    <row r="733">
      <c r="A733" s="52"/>
      <c r="B733" s="52"/>
      <c r="C733" s="27"/>
      <c r="D733" s="59"/>
      <c r="E733" s="27"/>
    </row>
    <row r="734">
      <c r="A734" s="52"/>
      <c r="B734" s="52"/>
      <c r="C734" s="27"/>
      <c r="D734" s="59"/>
      <c r="E734" s="27"/>
    </row>
    <row r="735">
      <c r="A735" s="52"/>
      <c r="B735" s="52"/>
      <c r="C735" s="27"/>
      <c r="D735" s="59"/>
      <c r="E735" s="27"/>
    </row>
    <row r="736">
      <c r="A736" s="52"/>
      <c r="B736" s="52"/>
      <c r="C736" s="27"/>
      <c r="D736" s="59"/>
      <c r="E736" s="27"/>
    </row>
    <row r="737">
      <c r="A737" s="52"/>
      <c r="B737" s="52"/>
      <c r="C737" s="27"/>
      <c r="D737" s="59"/>
      <c r="E737" s="27"/>
    </row>
    <row r="738">
      <c r="A738" s="52"/>
      <c r="B738" s="52"/>
      <c r="C738" s="27"/>
      <c r="D738" s="59"/>
      <c r="E738" s="27"/>
    </row>
    <row r="739">
      <c r="A739" s="52"/>
      <c r="B739" s="52"/>
      <c r="C739" s="27"/>
      <c r="D739" s="59"/>
      <c r="E739" s="27"/>
    </row>
    <row r="740">
      <c r="A740" s="52"/>
      <c r="B740" s="52"/>
      <c r="C740" s="27"/>
      <c r="D740" s="59"/>
      <c r="E740" s="27"/>
    </row>
    <row r="741">
      <c r="A741" s="52"/>
      <c r="B741" s="52"/>
      <c r="C741" s="27"/>
      <c r="D741" s="59"/>
      <c r="E741" s="27"/>
    </row>
    <row r="742">
      <c r="A742" s="52"/>
      <c r="B742" s="52"/>
      <c r="C742" s="27"/>
      <c r="D742" s="59"/>
      <c r="E742" s="27"/>
    </row>
    <row r="743">
      <c r="A743" s="52"/>
      <c r="B743" s="52"/>
      <c r="C743" s="27"/>
      <c r="D743" s="59"/>
      <c r="E743" s="27"/>
    </row>
    <row r="744">
      <c r="A744" s="52"/>
      <c r="B744" s="52"/>
      <c r="C744" s="27"/>
      <c r="D744" s="59"/>
      <c r="E744" s="27"/>
    </row>
    <row r="745">
      <c r="A745" s="52"/>
      <c r="B745" s="52"/>
      <c r="C745" s="27"/>
      <c r="D745" s="59"/>
      <c r="E745" s="27"/>
    </row>
    <row r="746">
      <c r="A746" s="52"/>
      <c r="B746" s="52"/>
      <c r="C746" s="27"/>
      <c r="D746" s="59"/>
      <c r="E746" s="27"/>
    </row>
    <row r="747">
      <c r="A747" s="52"/>
      <c r="B747" s="52"/>
      <c r="C747" s="27"/>
      <c r="D747" s="59"/>
      <c r="E747" s="27"/>
    </row>
    <row r="748">
      <c r="A748" s="52"/>
      <c r="B748" s="52"/>
      <c r="C748" s="27"/>
      <c r="D748" s="59"/>
      <c r="E748" s="27"/>
    </row>
    <row r="749">
      <c r="A749" s="52"/>
      <c r="B749" s="52"/>
      <c r="C749" s="27"/>
      <c r="D749" s="59"/>
      <c r="E749" s="27"/>
    </row>
    <row r="750">
      <c r="A750" s="52"/>
      <c r="B750" s="52"/>
      <c r="C750" s="27"/>
      <c r="D750" s="59"/>
      <c r="E750" s="27"/>
    </row>
    <row r="751">
      <c r="A751" s="52"/>
      <c r="B751" s="52"/>
      <c r="C751" s="27"/>
      <c r="D751" s="59"/>
      <c r="E751" s="27"/>
    </row>
    <row r="752">
      <c r="A752" s="52"/>
      <c r="B752" s="52"/>
      <c r="C752" s="27"/>
      <c r="D752" s="59"/>
      <c r="E752" s="27"/>
    </row>
    <row r="753">
      <c r="A753" s="52"/>
      <c r="B753" s="52"/>
      <c r="C753" s="27"/>
      <c r="D753" s="59"/>
      <c r="E753" s="27"/>
    </row>
    <row r="754">
      <c r="A754" s="52"/>
      <c r="B754" s="52"/>
      <c r="C754" s="27"/>
      <c r="D754" s="59"/>
      <c r="E754" s="27"/>
    </row>
    <row r="755">
      <c r="A755" s="52"/>
      <c r="B755" s="52"/>
      <c r="C755" s="27"/>
      <c r="D755" s="59"/>
      <c r="E755" s="27"/>
    </row>
    <row r="756">
      <c r="A756" s="52"/>
      <c r="B756" s="52"/>
      <c r="C756" s="27"/>
      <c r="D756" s="59"/>
      <c r="E756" s="27"/>
    </row>
    <row r="757">
      <c r="A757" s="52"/>
      <c r="B757" s="52"/>
      <c r="C757" s="27"/>
      <c r="D757" s="59"/>
      <c r="E757" s="27"/>
    </row>
    <row r="758">
      <c r="A758" s="52"/>
      <c r="B758" s="52"/>
      <c r="C758" s="27"/>
      <c r="D758" s="59"/>
      <c r="E758" s="27"/>
    </row>
    <row r="759">
      <c r="A759" s="52"/>
      <c r="B759" s="52"/>
      <c r="C759" s="27"/>
      <c r="D759" s="59"/>
      <c r="E759" s="27"/>
    </row>
    <row r="760">
      <c r="A760" s="52"/>
      <c r="B760" s="52"/>
      <c r="C760" s="27"/>
      <c r="D760" s="59"/>
      <c r="E760" s="27"/>
    </row>
    <row r="761">
      <c r="A761" s="52"/>
      <c r="B761" s="52"/>
      <c r="C761" s="27"/>
      <c r="D761" s="59"/>
      <c r="E761" s="27"/>
    </row>
    <row r="762">
      <c r="A762" s="52"/>
      <c r="B762" s="52"/>
      <c r="C762" s="27"/>
      <c r="D762" s="59"/>
      <c r="E762" s="27"/>
    </row>
    <row r="763">
      <c r="A763" s="52"/>
      <c r="B763" s="52"/>
      <c r="C763" s="27"/>
      <c r="D763" s="59"/>
      <c r="E763" s="27"/>
    </row>
    <row r="764">
      <c r="A764" s="52"/>
      <c r="B764" s="52"/>
      <c r="C764" s="27"/>
      <c r="D764" s="59"/>
      <c r="E764" s="27"/>
    </row>
    <row r="765">
      <c r="A765" s="52"/>
      <c r="B765" s="52"/>
      <c r="C765" s="27"/>
      <c r="D765" s="59"/>
      <c r="E765" s="27"/>
    </row>
    <row r="766">
      <c r="A766" s="52"/>
      <c r="B766" s="52"/>
      <c r="C766" s="27"/>
      <c r="D766" s="59"/>
      <c r="E766" s="27"/>
    </row>
    <row r="767">
      <c r="A767" s="52"/>
      <c r="B767" s="52"/>
      <c r="C767" s="27"/>
      <c r="D767" s="59"/>
      <c r="E767" s="27"/>
    </row>
    <row r="768">
      <c r="A768" s="52"/>
      <c r="B768" s="52"/>
      <c r="C768" s="27"/>
      <c r="D768" s="59"/>
      <c r="E768" s="27"/>
    </row>
    <row r="769">
      <c r="A769" s="52"/>
      <c r="B769" s="52"/>
      <c r="C769" s="27"/>
      <c r="D769" s="59"/>
      <c r="E769" s="27"/>
    </row>
    <row r="770">
      <c r="A770" s="52"/>
      <c r="B770" s="52"/>
      <c r="C770" s="27"/>
      <c r="D770" s="59"/>
      <c r="E770" s="27"/>
    </row>
    <row r="771">
      <c r="A771" s="52"/>
      <c r="B771" s="52"/>
      <c r="C771" s="27"/>
      <c r="D771" s="59"/>
      <c r="E771" s="27"/>
    </row>
    <row r="772">
      <c r="A772" s="52"/>
      <c r="B772" s="52"/>
      <c r="C772" s="27"/>
      <c r="D772" s="59"/>
      <c r="E772" s="27"/>
    </row>
    <row r="773">
      <c r="A773" s="52"/>
      <c r="B773" s="52"/>
      <c r="C773" s="27"/>
      <c r="D773" s="59"/>
      <c r="E773" s="27"/>
    </row>
    <row r="774">
      <c r="A774" s="52"/>
      <c r="B774" s="52"/>
      <c r="C774" s="27"/>
      <c r="D774" s="59"/>
      <c r="E774" s="27"/>
    </row>
    <row r="775">
      <c r="A775" s="52"/>
      <c r="B775" s="52"/>
      <c r="C775" s="27"/>
      <c r="D775" s="59"/>
      <c r="E775" s="27"/>
    </row>
    <row r="776">
      <c r="A776" s="52"/>
      <c r="B776" s="52"/>
      <c r="C776" s="27"/>
      <c r="D776" s="59"/>
      <c r="E776" s="27"/>
    </row>
    <row r="777">
      <c r="A777" s="52"/>
      <c r="B777" s="52"/>
      <c r="C777" s="27"/>
      <c r="D777" s="59"/>
      <c r="E777" s="27"/>
    </row>
    <row r="778">
      <c r="A778" s="52"/>
      <c r="B778" s="52"/>
      <c r="C778" s="27"/>
      <c r="D778" s="59"/>
      <c r="E778" s="27"/>
    </row>
    <row r="779">
      <c r="A779" s="52"/>
      <c r="B779" s="52"/>
      <c r="C779" s="27"/>
      <c r="D779" s="59"/>
      <c r="E779" s="27"/>
    </row>
    <row r="780">
      <c r="A780" s="52"/>
      <c r="B780" s="52"/>
      <c r="C780" s="27"/>
      <c r="D780" s="59"/>
      <c r="E780" s="27"/>
    </row>
    <row r="781">
      <c r="A781" s="52"/>
      <c r="B781" s="52"/>
      <c r="C781" s="27"/>
      <c r="D781" s="59"/>
      <c r="E781" s="27"/>
    </row>
    <row r="782">
      <c r="A782" s="52"/>
      <c r="B782" s="52"/>
      <c r="C782" s="27"/>
      <c r="D782" s="59"/>
      <c r="E782" s="27"/>
    </row>
    <row r="783">
      <c r="A783" s="52"/>
      <c r="B783" s="52"/>
      <c r="C783" s="27"/>
      <c r="D783" s="59"/>
      <c r="E783" s="27"/>
    </row>
    <row r="784">
      <c r="A784" s="52"/>
      <c r="B784" s="52"/>
      <c r="C784" s="27"/>
      <c r="D784" s="59"/>
      <c r="E784" s="27"/>
    </row>
    <row r="785">
      <c r="A785" s="52"/>
      <c r="B785" s="52"/>
      <c r="C785" s="27"/>
      <c r="D785" s="59"/>
      <c r="E785" s="27"/>
    </row>
    <row r="786">
      <c r="A786" s="52"/>
      <c r="B786" s="52"/>
      <c r="C786" s="27"/>
      <c r="D786" s="59"/>
      <c r="E786" s="27"/>
    </row>
    <row r="787">
      <c r="A787" s="52"/>
      <c r="B787" s="52"/>
      <c r="C787" s="27"/>
      <c r="D787" s="59"/>
      <c r="E787" s="27"/>
    </row>
    <row r="788">
      <c r="A788" s="52"/>
      <c r="B788" s="52"/>
      <c r="C788" s="27"/>
      <c r="D788" s="59"/>
      <c r="E788" s="27"/>
    </row>
    <row r="789">
      <c r="A789" s="52"/>
      <c r="B789" s="52"/>
      <c r="C789" s="27"/>
      <c r="D789" s="59"/>
      <c r="E789" s="27"/>
    </row>
    <row r="790">
      <c r="A790" s="52"/>
      <c r="B790" s="52"/>
      <c r="C790" s="27"/>
      <c r="D790" s="59"/>
      <c r="E790" s="27"/>
    </row>
    <row r="791">
      <c r="A791" s="52"/>
      <c r="B791" s="52"/>
      <c r="C791" s="27"/>
      <c r="D791" s="59"/>
      <c r="E791" s="27"/>
    </row>
    <row r="792">
      <c r="A792" s="52"/>
      <c r="B792" s="52"/>
      <c r="C792" s="27"/>
      <c r="D792" s="59"/>
      <c r="E792" s="27"/>
    </row>
    <row r="793">
      <c r="A793" s="52"/>
      <c r="B793" s="52"/>
      <c r="C793" s="27"/>
      <c r="D793" s="59"/>
      <c r="E793" s="27"/>
    </row>
    <row r="794">
      <c r="A794" s="52"/>
      <c r="B794" s="52"/>
      <c r="C794" s="27"/>
      <c r="D794" s="59"/>
      <c r="E794" s="27"/>
    </row>
    <row r="795">
      <c r="A795" s="52"/>
      <c r="B795" s="52"/>
      <c r="C795" s="27"/>
      <c r="D795" s="59"/>
      <c r="E795" s="27"/>
    </row>
    <row r="796">
      <c r="A796" s="52"/>
      <c r="B796" s="52"/>
      <c r="C796" s="27"/>
      <c r="D796" s="59"/>
      <c r="E796" s="27"/>
    </row>
    <row r="797">
      <c r="A797" s="52"/>
      <c r="B797" s="52"/>
      <c r="C797" s="27"/>
      <c r="D797" s="59"/>
      <c r="E797" s="27"/>
    </row>
    <row r="798">
      <c r="A798" s="52"/>
      <c r="B798" s="52"/>
      <c r="C798" s="27"/>
      <c r="D798" s="59"/>
      <c r="E798" s="27"/>
    </row>
    <row r="799">
      <c r="A799" s="52"/>
      <c r="B799" s="52"/>
      <c r="C799" s="27"/>
      <c r="D799" s="59"/>
      <c r="E799" s="27"/>
    </row>
    <row r="800">
      <c r="A800" s="52"/>
      <c r="B800" s="52"/>
      <c r="C800" s="27"/>
      <c r="D800" s="59"/>
      <c r="E800" s="27"/>
    </row>
    <row r="801">
      <c r="A801" s="52"/>
      <c r="B801" s="52"/>
      <c r="C801" s="27"/>
      <c r="D801" s="59"/>
      <c r="E801" s="27"/>
    </row>
    <row r="802">
      <c r="A802" s="52"/>
      <c r="B802" s="52"/>
      <c r="C802" s="27"/>
      <c r="D802" s="59"/>
      <c r="E802" s="27"/>
    </row>
    <row r="803">
      <c r="A803" s="52"/>
      <c r="B803" s="52"/>
      <c r="C803" s="27"/>
      <c r="D803" s="59"/>
      <c r="E803" s="27"/>
    </row>
    <row r="804">
      <c r="A804" s="52"/>
      <c r="B804" s="52"/>
      <c r="C804" s="27"/>
      <c r="D804" s="59"/>
      <c r="E804" s="27"/>
    </row>
    <row r="805">
      <c r="A805" s="52"/>
      <c r="B805" s="52"/>
      <c r="C805" s="27"/>
      <c r="D805" s="59"/>
      <c r="E805" s="27"/>
    </row>
    <row r="806">
      <c r="A806" s="52"/>
      <c r="B806" s="52"/>
      <c r="C806" s="27"/>
      <c r="D806" s="59"/>
      <c r="E806" s="27"/>
    </row>
    <row r="807">
      <c r="A807" s="52"/>
      <c r="B807" s="52"/>
      <c r="C807" s="27"/>
      <c r="D807" s="59"/>
      <c r="E807" s="27"/>
    </row>
    <row r="808">
      <c r="A808" s="52"/>
      <c r="B808" s="52"/>
      <c r="C808" s="27"/>
      <c r="D808" s="59"/>
      <c r="E808" s="27"/>
    </row>
    <row r="809">
      <c r="A809" s="52"/>
      <c r="B809" s="52"/>
      <c r="C809" s="27"/>
      <c r="D809" s="59"/>
      <c r="E809" s="27"/>
    </row>
    <row r="810">
      <c r="A810" s="52"/>
      <c r="B810" s="52"/>
      <c r="C810" s="27"/>
      <c r="D810" s="59"/>
      <c r="E810" s="27"/>
    </row>
    <row r="811">
      <c r="A811" s="52"/>
      <c r="B811" s="52"/>
      <c r="C811" s="27"/>
      <c r="D811" s="59"/>
      <c r="E811" s="27"/>
    </row>
    <row r="812">
      <c r="A812" s="52"/>
      <c r="B812" s="52"/>
      <c r="C812" s="27"/>
      <c r="D812" s="59"/>
      <c r="E812" s="27"/>
    </row>
    <row r="813">
      <c r="A813" s="52"/>
      <c r="B813" s="52"/>
      <c r="C813" s="27"/>
      <c r="D813" s="59"/>
      <c r="E813" s="27"/>
    </row>
    <row r="814">
      <c r="A814" s="52"/>
      <c r="B814" s="52"/>
      <c r="C814" s="27"/>
      <c r="D814" s="59"/>
      <c r="E814" s="27"/>
    </row>
    <row r="815">
      <c r="A815" s="52"/>
      <c r="B815" s="52"/>
      <c r="C815" s="27"/>
      <c r="D815" s="59"/>
      <c r="E815" s="27"/>
    </row>
    <row r="816">
      <c r="A816" s="52"/>
      <c r="B816" s="52"/>
      <c r="C816" s="27"/>
      <c r="D816" s="59"/>
      <c r="E816" s="27"/>
    </row>
    <row r="817">
      <c r="A817" s="52"/>
      <c r="B817" s="52"/>
      <c r="C817" s="27"/>
      <c r="D817" s="59"/>
      <c r="E817" s="27"/>
    </row>
    <row r="818">
      <c r="A818" s="52"/>
      <c r="B818" s="52"/>
      <c r="C818" s="27"/>
      <c r="D818" s="59"/>
      <c r="E818" s="27"/>
    </row>
    <row r="819">
      <c r="A819" s="52"/>
      <c r="B819" s="52"/>
      <c r="C819" s="27"/>
      <c r="D819" s="59"/>
      <c r="E819" s="27"/>
    </row>
    <row r="820">
      <c r="A820" s="52"/>
      <c r="B820" s="52"/>
      <c r="C820" s="27"/>
      <c r="D820" s="59"/>
      <c r="E820" s="27"/>
    </row>
    <row r="821">
      <c r="A821" s="52"/>
      <c r="B821" s="52"/>
      <c r="C821" s="27"/>
      <c r="D821" s="59"/>
      <c r="E821" s="27"/>
    </row>
    <row r="822">
      <c r="A822" s="52"/>
      <c r="B822" s="52"/>
      <c r="C822" s="27"/>
      <c r="D822" s="59"/>
      <c r="E822" s="27"/>
    </row>
    <row r="823">
      <c r="A823" s="52"/>
      <c r="B823" s="52"/>
      <c r="C823" s="27"/>
      <c r="D823" s="59"/>
      <c r="E823" s="27"/>
    </row>
    <row r="824">
      <c r="A824" s="52"/>
      <c r="B824" s="52"/>
      <c r="C824" s="27"/>
      <c r="D824" s="59"/>
      <c r="E824" s="27"/>
    </row>
    <row r="825">
      <c r="A825" s="52"/>
      <c r="B825" s="52"/>
      <c r="C825" s="27"/>
      <c r="D825" s="59"/>
      <c r="E825" s="27"/>
    </row>
    <row r="826">
      <c r="A826" s="52"/>
      <c r="B826" s="52"/>
      <c r="C826" s="27"/>
      <c r="D826" s="59"/>
      <c r="E826" s="27"/>
    </row>
    <row r="827">
      <c r="A827" s="52"/>
      <c r="B827" s="52"/>
      <c r="C827" s="27"/>
      <c r="D827" s="59"/>
      <c r="E827" s="27"/>
    </row>
    <row r="828">
      <c r="A828" s="52"/>
      <c r="B828" s="52"/>
      <c r="C828" s="27"/>
      <c r="D828" s="59"/>
      <c r="E828" s="27"/>
    </row>
    <row r="829">
      <c r="A829" s="52"/>
      <c r="B829" s="52"/>
      <c r="C829" s="27"/>
      <c r="D829" s="59"/>
      <c r="E829" s="27"/>
    </row>
    <row r="830">
      <c r="A830" s="52"/>
      <c r="B830" s="52"/>
      <c r="C830" s="27"/>
      <c r="D830" s="59"/>
      <c r="E830" s="27"/>
    </row>
    <row r="831">
      <c r="A831" s="52"/>
      <c r="B831" s="52"/>
      <c r="C831" s="27"/>
      <c r="D831" s="59"/>
      <c r="E831" s="27"/>
    </row>
    <row r="832">
      <c r="A832" s="52"/>
      <c r="B832" s="52"/>
      <c r="C832" s="27"/>
      <c r="D832" s="59"/>
      <c r="E832" s="27"/>
    </row>
    <row r="833">
      <c r="A833" s="52"/>
      <c r="B833" s="52"/>
      <c r="C833" s="27"/>
      <c r="D833" s="59"/>
      <c r="E833" s="27"/>
    </row>
    <row r="834">
      <c r="A834" s="52"/>
      <c r="B834" s="52"/>
      <c r="C834" s="27"/>
      <c r="D834" s="59"/>
      <c r="E834" s="27"/>
    </row>
    <row r="835">
      <c r="A835" s="52"/>
      <c r="B835" s="52"/>
      <c r="C835" s="27"/>
      <c r="D835" s="59"/>
      <c r="E835" s="27"/>
    </row>
    <row r="836">
      <c r="A836" s="52"/>
      <c r="B836" s="52"/>
      <c r="C836" s="27"/>
      <c r="D836" s="59"/>
      <c r="E836" s="27"/>
    </row>
    <row r="837">
      <c r="A837" s="52"/>
      <c r="B837" s="52"/>
      <c r="C837" s="27"/>
      <c r="D837" s="59"/>
      <c r="E837" s="27"/>
    </row>
    <row r="838">
      <c r="A838" s="52"/>
      <c r="B838" s="52"/>
      <c r="C838" s="27"/>
      <c r="D838" s="59"/>
      <c r="E838" s="27"/>
    </row>
    <row r="839">
      <c r="A839" s="52"/>
      <c r="B839" s="52"/>
      <c r="C839" s="27"/>
      <c r="D839" s="59"/>
      <c r="E839" s="27"/>
    </row>
    <row r="840">
      <c r="A840" s="52"/>
      <c r="B840" s="52"/>
      <c r="C840" s="27"/>
      <c r="D840" s="59"/>
      <c r="E840" s="27"/>
    </row>
    <row r="841">
      <c r="A841" s="52"/>
      <c r="B841" s="52"/>
      <c r="C841" s="27"/>
      <c r="D841" s="59"/>
      <c r="E841" s="27"/>
    </row>
    <row r="842">
      <c r="A842" s="52"/>
      <c r="B842" s="52"/>
      <c r="C842" s="27"/>
      <c r="D842" s="59"/>
      <c r="E842" s="27"/>
    </row>
    <row r="843">
      <c r="A843" s="52"/>
      <c r="B843" s="52"/>
      <c r="C843" s="27"/>
      <c r="D843" s="59"/>
      <c r="E843" s="27"/>
    </row>
    <row r="844">
      <c r="A844" s="52"/>
      <c r="B844" s="52"/>
      <c r="C844" s="27"/>
      <c r="D844" s="59"/>
      <c r="E844" s="27"/>
    </row>
    <row r="845">
      <c r="A845" s="52"/>
      <c r="B845" s="52"/>
      <c r="C845" s="27"/>
      <c r="D845" s="59"/>
      <c r="E845" s="27"/>
    </row>
    <row r="846">
      <c r="A846" s="52"/>
      <c r="B846" s="52"/>
      <c r="C846" s="27"/>
      <c r="D846" s="59"/>
      <c r="E846" s="27"/>
    </row>
    <row r="847">
      <c r="A847" s="52"/>
      <c r="B847" s="52"/>
      <c r="C847" s="27"/>
      <c r="D847" s="59"/>
      <c r="E847" s="27"/>
    </row>
    <row r="848">
      <c r="A848" s="52"/>
      <c r="B848" s="52"/>
      <c r="C848" s="27"/>
      <c r="D848" s="59"/>
      <c r="E848" s="27"/>
    </row>
    <row r="849">
      <c r="A849" s="52"/>
      <c r="B849" s="52"/>
      <c r="C849" s="27"/>
      <c r="D849" s="59"/>
      <c r="E849" s="27"/>
    </row>
    <row r="850">
      <c r="A850" s="52"/>
      <c r="B850" s="52"/>
      <c r="C850" s="27"/>
      <c r="D850" s="59"/>
      <c r="E850" s="27"/>
    </row>
    <row r="851">
      <c r="A851" s="52"/>
      <c r="B851" s="52"/>
      <c r="C851" s="27"/>
      <c r="D851" s="59"/>
      <c r="E851" s="27"/>
    </row>
    <row r="852">
      <c r="A852" s="52"/>
      <c r="B852" s="52"/>
      <c r="C852" s="27"/>
      <c r="D852" s="59"/>
      <c r="E852" s="27"/>
    </row>
    <row r="853">
      <c r="A853" s="52"/>
      <c r="B853" s="52"/>
      <c r="C853" s="27"/>
      <c r="D853" s="59"/>
      <c r="E853" s="27"/>
    </row>
    <row r="854">
      <c r="A854" s="52"/>
      <c r="B854" s="52"/>
      <c r="C854" s="27"/>
      <c r="D854" s="59"/>
      <c r="E854" s="27"/>
    </row>
    <row r="855">
      <c r="A855" s="52"/>
      <c r="B855" s="52"/>
      <c r="C855" s="27"/>
      <c r="D855" s="59"/>
      <c r="E855" s="27"/>
    </row>
    <row r="856">
      <c r="A856" s="52"/>
      <c r="B856" s="52"/>
      <c r="C856" s="27"/>
      <c r="D856" s="59"/>
      <c r="E856" s="27"/>
    </row>
    <row r="857">
      <c r="A857" s="52"/>
      <c r="B857" s="52"/>
      <c r="C857" s="27"/>
      <c r="D857" s="59"/>
      <c r="E857" s="27"/>
    </row>
    <row r="858">
      <c r="A858" s="52"/>
      <c r="B858" s="52"/>
      <c r="C858" s="27"/>
      <c r="D858" s="59"/>
      <c r="E858" s="27"/>
    </row>
    <row r="859">
      <c r="A859" s="52"/>
      <c r="B859" s="52"/>
      <c r="C859" s="27"/>
      <c r="D859" s="59"/>
      <c r="E859" s="27"/>
    </row>
    <row r="860">
      <c r="A860" s="52"/>
      <c r="B860" s="52"/>
      <c r="C860" s="27"/>
      <c r="D860" s="59"/>
      <c r="E860" s="27"/>
    </row>
    <row r="861">
      <c r="A861" s="52"/>
      <c r="B861" s="52"/>
      <c r="C861" s="27"/>
      <c r="D861" s="59"/>
      <c r="E861" s="27"/>
    </row>
    <row r="862">
      <c r="A862" s="52"/>
      <c r="B862" s="52"/>
      <c r="C862" s="27"/>
      <c r="D862" s="59"/>
      <c r="E862" s="27"/>
    </row>
    <row r="863">
      <c r="A863" s="52"/>
      <c r="B863" s="52"/>
      <c r="C863" s="27"/>
      <c r="D863" s="59"/>
      <c r="E863" s="27"/>
    </row>
    <row r="864">
      <c r="A864" s="52"/>
      <c r="B864" s="52"/>
      <c r="C864" s="27"/>
      <c r="D864" s="59"/>
      <c r="E864" s="27"/>
    </row>
    <row r="865">
      <c r="A865" s="52"/>
      <c r="B865" s="52"/>
      <c r="C865" s="27"/>
      <c r="D865" s="59"/>
      <c r="E865" s="27"/>
    </row>
    <row r="866">
      <c r="A866" s="52"/>
      <c r="B866" s="52"/>
      <c r="C866" s="27"/>
      <c r="D866" s="59"/>
      <c r="E866" s="27"/>
    </row>
    <row r="867">
      <c r="A867" s="52"/>
      <c r="B867" s="52"/>
      <c r="C867" s="27"/>
      <c r="D867" s="59"/>
      <c r="E867" s="27"/>
    </row>
    <row r="868">
      <c r="A868" s="52"/>
      <c r="B868" s="52"/>
      <c r="C868" s="27"/>
      <c r="D868" s="59"/>
      <c r="E868" s="27"/>
    </row>
    <row r="869">
      <c r="A869" s="52"/>
      <c r="B869" s="52"/>
      <c r="C869" s="27"/>
      <c r="D869" s="59"/>
      <c r="E869" s="27"/>
    </row>
    <row r="870">
      <c r="A870" s="52"/>
      <c r="B870" s="52"/>
      <c r="C870" s="27"/>
      <c r="D870" s="59"/>
      <c r="E870" s="27"/>
    </row>
    <row r="871">
      <c r="A871" s="52"/>
      <c r="B871" s="52"/>
      <c r="C871" s="27"/>
      <c r="D871" s="59"/>
      <c r="E871" s="27"/>
    </row>
    <row r="872">
      <c r="A872" s="52"/>
      <c r="B872" s="52"/>
      <c r="C872" s="27"/>
      <c r="D872" s="59"/>
      <c r="E872" s="27"/>
    </row>
    <row r="873">
      <c r="A873" s="52"/>
      <c r="B873" s="52"/>
      <c r="C873" s="27"/>
      <c r="D873" s="59"/>
      <c r="E873" s="27"/>
    </row>
    <row r="874">
      <c r="A874" s="52"/>
      <c r="B874" s="52"/>
      <c r="C874" s="27"/>
      <c r="D874" s="59"/>
      <c r="E874" s="27"/>
    </row>
    <row r="875">
      <c r="A875" s="52"/>
      <c r="B875" s="52"/>
      <c r="C875" s="27"/>
      <c r="D875" s="59"/>
      <c r="E875" s="27"/>
    </row>
    <row r="876">
      <c r="A876" s="52"/>
      <c r="B876" s="52"/>
      <c r="C876" s="27"/>
      <c r="D876" s="59"/>
      <c r="E876" s="27"/>
    </row>
    <row r="877">
      <c r="A877" s="52"/>
      <c r="B877" s="52"/>
      <c r="C877" s="27"/>
      <c r="D877" s="59"/>
      <c r="E877" s="27"/>
    </row>
    <row r="878">
      <c r="A878" s="52"/>
      <c r="B878" s="52"/>
      <c r="C878" s="27"/>
      <c r="D878" s="59"/>
      <c r="E878" s="27"/>
    </row>
    <row r="879">
      <c r="A879" s="52"/>
      <c r="B879" s="52"/>
      <c r="C879" s="27"/>
      <c r="D879" s="59"/>
      <c r="E879" s="27"/>
    </row>
    <row r="880">
      <c r="A880" s="52"/>
      <c r="B880" s="52"/>
      <c r="C880" s="27"/>
      <c r="D880" s="59"/>
      <c r="E880" s="27"/>
    </row>
    <row r="881">
      <c r="A881" s="52"/>
      <c r="B881" s="52"/>
      <c r="C881" s="27"/>
      <c r="D881" s="59"/>
      <c r="E881" s="27"/>
    </row>
    <row r="882">
      <c r="A882" s="52"/>
      <c r="B882" s="52"/>
      <c r="C882" s="27"/>
      <c r="D882" s="59"/>
      <c r="E882" s="27"/>
    </row>
    <row r="883">
      <c r="A883" s="52"/>
      <c r="B883" s="52"/>
      <c r="C883" s="27"/>
      <c r="D883" s="59"/>
      <c r="E883" s="27"/>
    </row>
    <row r="884">
      <c r="A884" s="52"/>
      <c r="B884" s="52"/>
      <c r="C884" s="27"/>
      <c r="D884" s="59"/>
      <c r="E884" s="27"/>
    </row>
    <row r="885">
      <c r="A885" s="52"/>
      <c r="B885" s="52"/>
      <c r="C885" s="27"/>
      <c r="D885" s="59"/>
      <c r="E885" s="27"/>
    </row>
    <row r="886">
      <c r="A886" s="52"/>
      <c r="B886" s="52"/>
      <c r="C886" s="27"/>
      <c r="D886" s="59"/>
      <c r="E886" s="27"/>
    </row>
    <row r="887">
      <c r="A887" s="52"/>
      <c r="B887" s="52"/>
      <c r="C887" s="27"/>
      <c r="D887" s="59"/>
      <c r="E887" s="27"/>
    </row>
    <row r="888">
      <c r="A888" s="52"/>
      <c r="B888" s="52"/>
      <c r="C888" s="27"/>
      <c r="D888" s="59"/>
      <c r="E888" s="27"/>
    </row>
    <row r="889">
      <c r="A889" s="52"/>
      <c r="B889" s="52"/>
      <c r="C889" s="27"/>
      <c r="D889" s="59"/>
      <c r="E889" s="27"/>
    </row>
    <row r="890">
      <c r="A890" s="52"/>
      <c r="B890" s="52"/>
      <c r="C890" s="27"/>
      <c r="D890" s="59"/>
      <c r="E890" s="27"/>
    </row>
    <row r="891">
      <c r="A891" s="52"/>
      <c r="B891" s="52"/>
      <c r="C891" s="27"/>
      <c r="D891" s="59"/>
      <c r="E891" s="27"/>
    </row>
    <row r="892">
      <c r="A892" s="52"/>
      <c r="B892" s="52"/>
      <c r="C892" s="27"/>
      <c r="D892" s="59"/>
      <c r="E892" s="27"/>
    </row>
    <row r="893">
      <c r="A893" s="52"/>
      <c r="B893" s="52"/>
      <c r="C893" s="27"/>
      <c r="D893" s="59"/>
      <c r="E893" s="27"/>
    </row>
    <row r="894">
      <c r="A894" s="52"/>
      <c r="B894" s="52"/>
      <c r="C894" s="27"/>
      <c r="D894" s="59"/>
      <c r="E894" s="27"/>
    </row>
    <row r="895">
      <c r="A895" s="52"/>
      <c r="B895" s="52"/>
      <c r="C895" s="27"/>
      <c r="D895" s="59"/>
      <c r="E895" s="27"/>
    </row>
    <row r="896">
      <c r="A896" s="52"/>
      <c r="B896" s="52"/>
      <c r="C896" s="27"/>
      <c r="D896" s="59"/>
      <c r="E896" s="27"/>
    </row>
    <row r="897">
      <c r="A897" s="52"/>
      <c r="B897" s="52"/>
      <c r="C897" s="27"/>
      <c r="D897" s="59"/>
      <c r="E897" s="27"/>
    </row>
    <row r="898">
      <c r="A898" s="52"/>
      <c r="B898" s="52"/>
      <c r="C898" s="27"/>
      <c r="D898" s="59"/>
      <c r="E898" s="27"/>
    </row>
    <row r="899">
      <c r="A899" s="52"/>
      <c r="B899" s="52"/>
      <c r="C899" s="27"/>
      <c r="D899" s="59"/>
      <c r="E899" s="27"/>
    </row>
    <row r="900">
      <c r="A900" s="52"/>
      <c r="B900" s="52"/>
      <c r="C900" s="27"/>
      <c r="D900" s="59"/>
      <c r="E900" s="27"/>
    </row>
    <row r="901">
      <c r="A901" s="52"/>
      <c r="B901" s="52"/>
      <c r="C901" s="27"/>
      <c r="D901" s="59"/>
      <c r="E901" s="27"/>
    </row>
    <row r="902">
      <c r="A902" s="52"/>
      <c r="B902" s="52"/>
      <c r="C902" s="27"/>
      <c r="D902" s="59"/>
      <c r="E902" s="27"/>
    </row>
    <row r="903">
      <c r="A903" s="52"/>
      <c r="B903" s="52"/>
      <c r="C903" s="27"/>
      <c r="D903" s="59"/>
      <c r="E903" s="27"/>
    </row>
    <row r="904">
      <c r="A904" s="52"/>
      <c r="B904" s="52"/>
      <c r="C904" s="27"/>
      <c r="D904" s="59"/>
      <c r="E904" s="27"/>
    </row>
    <row r="905">
      <c r="A905" s="52"/>
      <c r="B905" s="52"/>
      <c r="C905" s="27"/>
      <c r="D905" s="59"/>
      <c r="E905" s="27"/>
    </row>
    <row r="906">
      <c r="A906" s="52"/>
      <c r="B906" s="52"/>
      <c r="C906" s="27"/>
      <c r="D906" s="59"/>
      <c r="E906" s="27"/>
    </row>
    <row r="907">
      <c r="A907" s="52"/>
      <c r="B907" s="52"/>
      <c r="C907" s="27"/>
      <c r="D907" s="59"/>
      <c r="E907" s="27"/>
    </row>
    <row r="908">
      <c r="A908" s="52"/>
      <c r="B908" s="52"/>
      <c r="C908" s="27"/>
      <c r="D908" s="59"/>
      <c r="E908" s="27"/>
    </row>
    <row r="909">
      <c r="A909" s="52"/>
      <c r="B909" s="52"/>
      <c r="C909" s="27"/>
      <c r="D909" s="59"/>
      <c r="E909" s="27"/>
    </row>
    <row r="910">
      <c r="A910" s="52"/>
      <c r="B910" s="52"/>
      <c r="C910" s="27"/>
      <c r="D910" s="59"/>
      <c r="E910" s="27"/>
    </row>
    <row r="911">
      <c r="A911" s="52"/>
      <c r="B911" s="52"/>
      <c r="C911" s="27"/>
      <c r="D911" s="59"/>
      <c r="E911" s="27"/>
    </row>
    <row r="912">
      <c r="A912" s="52"/>
      <c r="B912" s="52"/>
      <c r="C912" s="27"/>
      <c r="D912" s="59"/>
      <c r="E912" s="27"/>
    </row>
    <row r="913">
      <c r="A913" s="52"/>
      <c r="B913" s="52"/>
      <c r="C913" s="27"/>
      <c r="D913" s="59"/>
      <c r="E913" s="27"/>
    </row>
    <row r="914">
      <c r="A914" s="52"/>
      <c r="B914" s="52"/>
      <c r="C914" s="27"/>
      <c r="D914" s="59"/>
      <c r="E914" s="27"/>
    </row>
    <row r="915">
      <c r="A915" s="52"/>
      <c r="B915" s="52"/>
      <c r="C915" s="27"/>
      <c r="D915" s="59"/>
      <c r="E915" s="27"/>
    </row>
    <row r="916">
      <c r="A916" s="52"/>
      <c r="B916" s="52"/>
      <c r="C916" s="27"/>
      <c r="D916" s="59"/>
      <c r="E916" s="27"/>
    </row>
    <row r="917">
      <c r="A917" s="52"/>
      <c r="B917" s="52"/>
      <c r="C917" s="27"/>
      <c r="D917" s="59"/>
      <c r="E917" s="27"/>
    </row>
    <row r="918">
      <c r="A918" s="52"/>
      <c r="B918" s="52"/>
      <c r="C918" s="27"/>
      <c r="D918" s="59"/>
      <c r="E918" s="27"/>
    </row>
    <row r="919">
      <c r="A919" s="52"/>
      <c r="B919" s="52"/>
      <c r="C919" s="27"/>
      <c r="D919" s="59"/>
      <c r="E919" s="27"/>
    </row>
    <row r="920">
      <c r="A920" s="52"/>
      <c r="B920" s="52"/>
      <c r="C920" s="27"/>
      <c r="D920" s="59"/>
      <c r="E920" s="27"/>
    </row>
    <row r="921">
      <c r="A921" s="52"/>
      <c r="B921" s="52"/>
      <c r="C921" s="27"/>
      <c r="D921" s="59"/>
      <c r="E921" s="27"/>
    </row>
    <row r="922">
      <c r="A922" s="52"/>
      <c r="B922" s="52"/>
      <c r="C922" s="27"/>
      <c r="D922" s="59"/>
      <c r="E922" s="27"/>
    </row>
    <row r="923">
      <c r="A923" s="52"/>
      <c r="B923" s="52"/>
      <c r="C923" s="27"/>
      <c r="D923" s="59"/>
      <c r="E923" s="27"/>
    </row>
    <row r="924">
      <c r="A924" s="52"/>
      <c r="B924" s="52"/>
      <c r="C924" s="27"/>
      <c r="D924" s="59"/>
      <c r="E924" s="27"/>
    </row>
    <row r="925">
      <c r="A925" s="52"/>
      <c r="B925" s="52"/>
      <c r="C925" s="27"/>
      <c r="D925" s="59"/>
      <c r="E925" s="27"/>
    </row>
    <row r="926">
      <c r="A926" s="52"/>
      <c r="B926" s="52"/>
      <c r="C926" s="27"/>
      <c r="D926" s="59"/>
      <c r="E926" s="27"/>
    </row>
    <row r="927">
      <c r="A927" s="52"/>
      <c r="B927" s="52"/>
      <c r="C927" s="27"/>
      <c r="D927" s="59"/>
      <c r="E927" s="27"/>
    </row>
    <row r="928">
      <c r="A928" s="52"/>
      <c r="B928" s="52"/>
      <c r="C928" s="27"/>
      <c r="D928" s="59"/>
      <c r="E928" s="27"/>
    </row>
    <row r="929">
      <c r="A929" s="52"/>
      <c r="B929" s="52"/>
      <c r="C929" s="27"/>
      <c r="D929" s="59"/>
      <c r="E929" s="27"/>
    </row>
    <row r="930">
      <c r="A930" s="52"/>
      <c r="B930" s="52"/>
      <c r="C930" s="27"/>
      <c r="D930" s="59"/>
      <c r="E930" s="27"/>
    </row>
    <row r="931">
      <c r="A931" s="52"/>
      <c r="B931" s="52"/>
      <c r="C931" s="27"/>
      <c r="D931" s="59"/>
      <c r="E931" s="27"/>
    </row>
    <row r="932">
      <c r="A932" s="52"/>
      <c r="B932" s="52"/>
      <c r="C932" s="27"/>
      <c r="D932" s="59"/>
      <c r="E932" s="27"/>
    </row>
    <row r="933">
      <c r="A933" s="52"/>
      <c r="B933" s="52"/>
      <c r="C933" s="27"/>
      <c r="D933" s="59"/>
      <c r="E933" s="27"/>
    </row>
    <row r="934">
      <c r="A934" s="52"/>
      <c r="B934" s="52"/>
      <c r="C934" s="27"/>
      <c r="D934" s="59"/>
      <c r="E934" s="27"/>
    </row>
    <row r="935">
      <c r="A935" s="52"/>
      <c r="B935" s="52"/>
      <c r="C935" s="27"/>
      <c r="D935" s="59"/>
      <c r="E935" s="27"/>
    </row>
    <row r="936">
      <c r="A936" s="52"/>
      <c r="B936" s="52"/>
      <c r="C936" s="27"/>
      <c r="D936" s="59"/>
      <c r="E936" s="27"/>
    </row>
    <row r="937">
      <c r="A937" s="52"/>
      <c r="B937" s="52"/>
      <c r="C937" s="27"/>
      <c r="D937" s="59"/>
      <c r="E937" s="27"/>
    </row>
    <row r="938">
      <c r="A938" s="52"/>
      <c r="B938" s="52"/>
      <c r="C938" s="27"/>
      <c r="D938" s="59"/>
      <c r="E938" s="27"/>
    </row>
    <row r="939">
      <c r="A939" s="52"/>
      <c r="B939" s="52"/>
      <c r="C939" s="27"/>
      <c r="D939" s="59"/>
      <c r="E939" s="27"/>
    </row>
    <row r="940">
      <c r="A940" s="52"/>
      <c r="B940" s="52"/>
      <c r="C940" s="27"/>
      <c r="D940" s="59"/>
      <c r="E940" s="27"/>
    </row>
    <row r="941">
      <c r="A941" s="52"/>
      <c r="B941" s="52"/>
      <c r="C941" s="27"/>
      <c r="D941" s="59"/>
      <c r="E941" s="27"/>
    </row>
    <row r="942">
      <c r="A942" s="52"/>
      <c r="B942" s="52"/>
      <c r="C942" s="27"/>
      <c r="D942" s="59"/>
      <c r="E942" s="27"/>
    </row>
    <row r="943">
      <c r="A943" s="52"/>
      <c r="B943" s="52"/>
      <c r="C943" s="27"/>
      <c r="D943" s="59"/>
      <c r="E943" s="27"/>
    </row>
    <row r="944">
      <c r="A944" s="52"/>
      <c r="B944" s="52"/>
      <c r="C944" s="27"/>
      <c r="D944" s="59"/>
      <c r="E944" s="27"/>
    </row>
    <row r="945">
      <c r="A945" s="52"/>
      <c r="B945" s="52"/>
      <c r="C945" s="27"/>
      <c r="D945" s="59"/>
      <c r="E945" s="27"/>
    </row>
    <row r="946">
      <c r="A946" s="52"/>
      <c r="B946" s="52"/>
      <c r="C946" s="27"/>
      <c r="D946" s="59"/>
      <c r="E946" s="27"/>
    </row>
    <row r="947">
      <c r="A947" s="52"/>
      <c r="B947" s="52"/>
      <c r="C947" s="27"/>
      <c r="D947" s="59"/>
      <c r="E947" s="27"/>
    </row>
    <row r="948">
      <c r="A948" s="52"/>
      <c r="B948" s="52"/>
      <c r="C948" s="27"/>
      <c r="D948" s="59"/>
      <c r="E948" s="27"/>
    </row>
    <row r="949">
      <c r="A949" s="52"/>
      <c r="B949" s="52"/>
      <c r="C949" s="27"/>
      <c r="D949" s="59"/>
      <c r="E949" s="27"/>
    </row>
    <row r="950">
      <c r="A950" s="52"/>
      <c r="B950" s="52"/>
      <c r="C950" s="27"/>
      <c r="D950" s="59"/>
      <c r="E950" s="27"/>
    </row>
    <row r="951">
      <c r="A951" s="52"/>
      <c r="B951" s="52"/>
      <c r="C951" s="27"/>
      <c r="D951" s="59"/>
      <c r="E951" s="27"/>
    </row>
    <row r="952">
      <c r="A952" s="52"/>
      <c r="B952" s="52"/>
      <c r="C952" s="27"/>
      <c r="D952" s="59"/>
      <c r="E952" s="27"/>
    </row>
    <row r="953">
      <c r="A953" s="52"/>
      <c r="B953" s="52"/>
      <c r="C953" s="27"/>
      <c r="D953" s="59"/>
      <c r="E953" s="27"/>
    </row>
    <row r="954">
      <c r="A954" s="52"/>
      <c r="B954" s="52"/>
      <c r="C954" s="27"/>
      <c r="D954" s="59"/>
      <c r="E954" s="27"/>
    </row>
    <row r="955">
      <c r="A955" s="52"/>
      <c r="B955" s="52"/>
      <c r="C955" s="27"/>
      <c r="D955" s="59"/>
      <c r="E955" s="27"/>
    </row>
    <row r="956">
      <c r="A956" s="52"/>
      <c r="B956" s="52"/>
      <c r="C956" s="27"/>
      <c r="D956" s="59"/>
      <c r="E956" s="27"/>
    </row>
    <row r="957">
      <c r="A957" s="52"/>
      <c r="B957" s="52"/>
      <c r="C957" s="27"/>
      <c r="D957" s="59"/>
      <c r="E957" s="27"/>
    </row>
    <row r="958">
      <c r="A958" s="52"/>
      <c r="B958" s="52"/>
      <c r="C958" s="27"/>
      <c r="D958" s="59"/>
      <c r="E958" s="27"/>
    </row>
    <row r="959">
      <c r="A959" s="52"/>
      <c r="B959" s="52"/>
      <c r="C959" s="27"/>
      <c r="D959" s="59"/>
      <c r="E959" s="27"/>
    </row>
    <row r="960">
      <c r="A960" s="52"/>
      <c r="B960" s="52"/>
      <c r="C960" s="27"/>
      <c r="D960" s="59"/>
      <c r="E960" s="27"/>
    </row>
    <row r="961">
      <c r="A961" s="52"/>
      <c r="B961" s="52"/>
      <c r="C961" s="27"/>
      <c r="D961" s="59"/>
      <c r="E961" s="27"/>
    </row>
    <row r="962">
      <c r="A962" s="52"/>
      <c r="B962" s="52"/>
      <c r="C962" s="27"/>
      <c r="D962" s="59"/>
      <c r="E962" s="27"/>
    </row>
    <row r="963">
      <c r="A963" s="52"/>
      <c r="B963" s="52"/>
      <c r="C963" s="27"/>
      <c r="D963" s="59"/>
      <c r="E963" s="27"/>
    </row>
    <row r="964">
      <c r="A964" s="52"/>
      <c r="B964" s="52"/>
      <c r="C964" s="27"/>
      <c r="D964" s="59"/>
      <c r="E964" s="27"/>
    </row>
    <row r="965">
      <c r="A965" s="52"/>
      <c r="B965" s="52"/>
      <c r="C965" s="27"/>
      <c r="D965" s="59"/>
      <c r="E965" s="27"/>
    </row>
    <row r="966">
      <c r="A966" s="52"/>
      <c r="B966" s="52"/>
      <c r="C966" s="27"/>
      <c r="D966" s="59"/>
      <c r="E966" s="27"/>
    </row>
    <row r="967">
      <c r="A967" s="52"/>
      <c r="B967" s="52"/>
      <c r="C967" s="27"/>
      <c r="D967" s="59"/>
      <c r="E967" s="27"/>
    </row>
    <row r="968">
      <c r="A968" s="52"/>
      <c r="B968" s="52"/>
      <c r="C968" s="27"/>
      <c r="D968" s="59"/>
      <c r="E968" s="27"/>
    </row>
    <row r="969">
      <c r="A969" s="52"/>
      <c r="B969" s="52"/>
      <c r="C969" s="27"/>
      <c r="D969" s="59"/>
      <c r="E969" s="27"/>
    </row>
    <row r="970">
      <c r="A970" s="52"/>
      <c r="B970" s="52"/>
      <c r="C970" s="27"/>
      <c r="D970" s="59"/>
      <c r="E970" s="27"/>
    </row>
    <row r="971">
      <c r="A971" s="52"/>
      <c r="B971" s="52"/>
      <c r="C971" s="27"/>
      <c r="D971" s="59"/>
      <c r="E971" s="27"/>
    </row>
    <row r="972">
      <c r="A972" s="52"/>
      <c r="B972" s="52"/>
      <c r="C972" s="27"/>
      <c r="D972" s="59"/>
      <c r="E972" s="27"/>
    </row>
    <row r="973">
      <c r="A973" s="52"/>
      <c r="B973" s="52"/>
      <c r="C973" s="27"/>
      <c r="D973" s="59"/>
      <c r="E973" s="27"/>
    </row>
    <row r="974">
      <c r="A974" s="52"/>
      <c r="B974" s="52"/>
      <c r="C974" s="27"/>
      <c r="D974" s="59"/>
      <c r="E974" s="27"/>
    </row>
    <row r="975">
      <c r="A975" s="52"/>
      <c r="B975" s="52"/>
      <c r="C975" s="27"/>
      <c r="D975" s="59"/>
      <c r="E975" s="27"/>
    </row>
    <row r="976">
      <c r="A976" s="52"/>
      <c r="B976" s="52"/>
      <c r="C976" s="27"/>
      <c r="D976" s="59"/>
      <c r="E976" s="27"/>
    </row>
    <row r="977">
      <c r="A977" s="52"/>
      <c r="B977" s="52"/>
      <c r="C977" s="27"/>
      <c r="D977" s="59"/>
      <c r="E977" s="27"/>
    </row>
    <row r="978">
      <c r="A978" s="52"/>
      <c r="B978" s="52"/>
      <c r="C978" s="27"/>
      <c r="D978" s="59"/>
      <c r="E978" s="27"/>
    </row>
    <row r="979">
      <c r="A979" s="52"/>
      <c r="B979" s="52"/>
      <c r="C979" s="27"/>
      <c r="D979" s="59"/>
      <c r="E979" s="27"/>
    </row>
    <row r="980">
      <c r="A980" s="52"/>
      <c r="B980" s="52"/>
      <c r="C980" s="27"/>
      <c r="D980" s="59"/>
      <c r="E980" s="27"/>
    </row>
    <row r="981">
      <c r="A981" s="52"/>
      <c r="B981" s="52"/>
      <c r="C981" s="27"/>
      <c r="D981" s="59"/>
      <c r="E981" s="27"/>
    </row>
    <row r="982">
      <c r="A982" s="52"/>
      <c r="B982" s="52"/>
      <c r="C982" s="27"/>
      <c r="D982" s="59"/>
      <c r="E982" s="27"/>
    </row>
    <row r="983">
      <c r="A983" s="52"/>
      <c r="B983" s="52"/>
      <c r="C983" s="27"/>
      <c r="D983" s="59"/>
      <c r="E983" s="27"/>
    </row>
    <row r="984">
      <c r="A984" s="52"/>
      <c r="B984" s="52"/>
      <c r="C984" s="27"/>
      <c r="D984" s="59"/>
      <c r="E984" s="27"/>
    </row>
    <row r="985">
      <c r="A985" s="52"/>
      <c r="B985" s="52"/>
      <c r="C985" s="27"/>
      <c r="D985" s="59"/>
      <c r="E985" s="27"/>
    </row>
    <row r="986">
      <c r="A986" s="52"/>
      <c r="B986" s="52"/>
      <c r="C986" s="27"/>
      <c r="D986" s="59"/>
      <c r="E986" s="27"/>
    </row>
    <row r="987">
      <c r="A987" s="52"/>
      <c r="B987" s="52"/>
      <c r="C987" s="27"/>
      <c r="D987" s="59"/>
      <c r="E987" s="27"/>
    </row>
    <row r="988">
      <c r="A988" s="52"/>
      <c r="B988" s="52"/>
      <c r="C988" s="27"/>
      <c r="D988" s="59"/>
      <c r="E988" s="27"/>
    </row>
    <row r="989">
      <c r="A989" s="52"/>
      <c r="B989" s="52"/>
      <c r="C989" s="27"/>
      <c r="D989" s="59"/>
      <c r="E989" s="27"/>
    </row>
    <row r="990">
      <c r="A990" s="52"/>
      <c r="B990" s="52"/>
      <c r="C990" s="27"/>
      <c r="D990" s="59"/>
      <c r="E990" s="27"/>
    </row>
    <row r="991">
      <c r="A991" s="52"/>
      <c r="B991" s="52"/>
      <c r="C991" s="27"/>
      <c r="D991" s="59"/>
      <c r="E991" s="27"/>
    </row>
    <row r="992">
      <c r="A992" s="52"/>
      <c r="B992" s="52"/>
      <c r="C992" s="27"/>
      <c r="D992" s="59"/>
      <c r="E992" s="27"/>
    </row>
    <row r="993">
      <c r="A993" s="52"/>
      <c r="B993" s="52"/>
      <c r="C993" s="27"/>
      <c r="D993" s="59"/>
      <c r="E993" s="27"/>
    </row>
    <row r="994">
      <c r="A994" s="52"/>
      <c r="B994" s="52"/>
      <c r="C994" s="27"/>
      <c r="D994" s="59"/>
      <c r="E994" s="27"/>
    </row>
    <row r="995">
      <c r="A995" s="52"/>
      <c r="B995" s="52"/>
      <c r="C995" s="27"/>
      <c r="D995" s="59"/>
      <c r="E995" s="27"/>
    </row>
    <row r="996">
      <c r="A996" s="52"/>
      <c r="B996" s="52"/>
      <c r="C996" s="27"/>
      <c r="D996" s="59"/>
      <c r="E996" s="27"/>
    </row>
    <row r="997">
      <c r="A997" s="52"/>
      <c r="B997" s="52"/>
      <c r="C997" s="27"/>
      <c r="D997" s="59"/>
      <c r="E997" s="27"/>
    </row>
    <row r="998">
      <c r="A998" s="52"/>
      <c r="B998" s="52"/>
      <c r="C998" s="27"/>
      <c r="D998" s="59"/>
      <c r="E998" s="27"/>
    </row>
    <row r="999">
      <c r="A999" s="52"/>
      <c r="B999" s="52"/>
      <c r="C999" s="27"/>
      <c r="D999" s="59"/>
      <c r="E999" s="27"/>
    </row>
    <row r="1000">
      <c r="A1000" s="52"/>
      <c r="B1000" s="52"/>
      <c r="C1000" s="27"/>
      <c r="D1000" s="59"/>
      <c r="E1000" s="27"/>
    </row>
    <row r="1001">
      <c r="A1001" s="52"/>
      <c r="B1001" s="52"/>
      <c r="C1001" s="27"/>
      <c r="D1001" s="59"/>
      <c r="E1001" s="27"/>
    </row>
  </sheetData>
  <printOptions gridLines="1" horizontalCentered="1"/>
  <pageMargins bottom="0.75" footer="0.0" header="0.0" left="0.7" right="0.7" top="0.75"/>
  <pageSetup fitToHeight="0" cellComments="atEnd" orientation="landscape" pageOrder="overThenDown"/>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29.25"/>
    <col customWidth="1" min="4" max="4" width="50.0"/>
    <col customWidth="1" min="5" max="5" width="26.88"/>
  </cols>
  <sheetData>
    <row r="1">
      <c r="A1" s="45"/>
      <c r="B1" s="46" t="s">
        <v>2010</v>
      </c>
      <c r="C1" s="27"/>
      <c r="D1" s="27"/>
      <c r="E1" s="47" t="s">
        <v>32</v>
      </c>
      <c r="F1" s="58"/>
      <c r="G1" s="58"/>
      <c r="H1" s="58"/>
      <c r="I1" s="58"/>
      <c r="J1" s="58"/>
      <c r="K1" s="58"/>
      <c r="L1" s="58"/>
      <c r="M1" s="58"/>
      <c r="N1" s="58"/>
      <c r="O1" s="58"/>
      <c r="P1" s="58"/>
      <c r="Q1" s="58"/>
      <c r="R1" s="58"/>
      <c r="S1" s="58"/>
      <c r="T1" s="58"/>
      <c r="U1" s="58"/>
      <c r="V1" s="58"/>
      <c r="W1" s="58"/>
      <c r="X1" s="58"/>
      <c r="Y1" s="58"/>
      <c r="Z1" s="58"/>
    </row>
    <row r="2">
      <c r="A2" s="45"/>
      <c r="C2" s="27"/>
      <c r="D2" s="27"/>
      <c r="E2" s="27"/>
      <c r="F2" s="58"/>
      <c r="G2" s="58"/>
      <c r="H2" s="58"/>
      <c r="I2" s="58"/>
      <c r="J2" s="58"/>
      <c r="K2" s="58"/>
      <c r="L2" s="58"/>
      <c r="M2" s="58"/>
      <c r="N2" s="58"/>
      <c r="O2" s="58"/>
      <c r="P2" s="58"/>
      <c r="Q2" s="58"/>
      <c r="R2" s="58"/>
      <c r="S2" s="58"/>
      <c r="T2" s="58"/>
      <c r="U2" s="58"/>
      <c r="V2" s="58"/>
      <c r="W2" s="58"/>
      <c r="X2" s="58"/>
      <c r="Y2" s="58"/>
      <c r="Z2" s="58"/>
    </row>
    <row r="3">
      <c r="A3" s="45"/>
      <c r="B3" s="12" t="s">
        <v>2011</v>
      </c>
      <c r="C3" s="27"/>
      <c r="D3" s="27"/>
      <c r="E3" s="27"/>
      <c r="F3" s="58"/>
      <c r="G3" s="58"/>
      <c r="H3" s="58"/>
      <c r="I3" s="58"/>
      <c r="J3" s="58"/>
      <c r="K3" s="58"/>
      <c r="L3" s="58"/>
      <c r="M3" s="58"/>
      <c r="N3" s="58"/>
      <c r="O3" s="58"/>
      <c r="P3" s="58"/>
      <c r="Q3" s="58"/>
      <c r="R3" s="58"/>
      <c r="S3" s="58"/>
      <c r="T3" s="58"/>
      <c r="U3" s="58"/>
      <c r="V3" s="58"/>
      <c r="W3" s="58"/>
      <c r="X3" s="58"/>
      <c r="Y3" s="58"/>
      <c r="Z3" s="58"/>
    </row>
    <row r="4">
      <c r="A4" s="45"/>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0">
        <f>IFERROR(__xludf.DUMMYFUNCTION("filter(Full!A1:E1002, regexmatch(Full!E1:E1002, ""(?i)snuff""))"),11.0)</f>
        <v>11</v>
      </c>
      <c r="B6" s="51">
        <f>IFERROR(__xludf.DUMMYFUNCTION("""COMPUTED_VALUE"""),44738.0)</f>
        <v>44738</v>
      </c>
      <c r="C6" s="27" t="str">
        <f>IFERROR(__xludf.DUMMYFUNCTION("""COMPUTED_VALUE"""),"Silent Call Boss Kidnaps &amp; Kills")</f>
        <v>Silent Call Boss Kidnaps &amp; Kills</v>
      </c>
      <c r="D6" s="27" t="str">
        <f>IFERROR(__xludf.DUMMYFUNCTION("""COMPUTED_VALUE"""),"The listener kidnaps his female employee and takes everything, even her life")</f>
        <v>The listener kidnaps his female employee and takes everything, even her life</v>
      </c>
      <c r="E6" s="27" t="str">
        <f>IFERROR(__xludf.DUMMYFUNCTION("""COMPUTED_VALUE"""),"throat fuck, choking, snuff")</f>
        <v>throat fuck, choking, snuff</v>
      </c>
    </row>
    <row r="7">
      <c r="A7" s="52">
        <f>IFERROR(__xludf.DUMMYFUNCTION("""COMPUTED_VALUE"""),16.0)</f>
        <v>16</v>
      </c>
      <c r="B7" s="51">
        <f>IFERROR(__xludf.DUMMYFUNCTION("""COMPUTED_VALUE"""),44739.0)</f>
        <v>44739</v>
      </c>
      <c r="C7" s="27" t="str">
        <f>IFERROR(__xludf.DUMMYFUNCTION("""COMPUTED_VALUE"""),"Dystopian Milking")</f>
        <v>Dystopian Milking</v>
      </c>
      <c r="D7" s="27" t="str">
        <f>IFERROR(__xludf.DUMMYFUNCTION("""COMPUTED_VALUE"""),"It's the year 2026 and the world has shifted and change. Females are now more powerful than men because only a small percentage of men have viable sperm. A government of women are milking every cock and testing for viability. You (the listener) haven't be"&amp;"en able to successfully be milked. An inquisitor is assigned to break you down and ultimately test your cum...using the only deprave way that makes your cock hard.")</f>
        <v>It's the year 2026 and the world has shifted and change. Females are now more powerful than men because only a small percentage of men have viable sperm. A government of women are milking every cock and testing for viability. You (the listener) haven't been able to successfully be milked. An inquisitor is assigned to break you down and ultimately test your cum...using the only deprave way that makes your cock hard.</v>
      </c>
      <c r="E7" s="27" t="str">
        <f>IFERROR(__xludf.DUMMYFUNCTION("""COMPUTED_VALUE"""),"Accomplice, dystopian future, milking, brief snuff mention, pervert encouragment")</f>
        <v>Accomplice, dystopian future, milking, brief snuff mention, pervert encouragment</v>
      </c>
    </row>
    <row r="8">
      <c r="A8" s="52">
        <f>IFERROR(__xludf.DUMMYFUNCTION("""COMPUTED_VALUE"""),20.0)</f>
        <v>20</v>
      </c>
      <c r="B8" s="51">
        <f>IFERROR(__xludf.DUMMYFUNCTION("""COMPUTED_VALUE"""),44743.0)</f>
        <v>44743</v>
      </c>
      <c r="C8" s="27" t="str">
        <f>IFERROR(__xludf.DUMMYFUNCTION("""COMPUTED_VALUE"""),"Silent One-Way Call: Pervy Girlfriend Experience")</f>
        <v>Silent One-Way Call: Pervy Girlfriend Experience</v>
      </c>
      <c r="D8" s="27" t="str">
        <f>IFERROR(__xludf.DUMMYFUNCTION("""COMPUTED_VALUE"""),"Real silent call where I improve the following premise: your gf finds your filthy porn history and encourages you to stay nasty")</f>
        <v>Real silent call where I improve the following premise: your gf finds your filthy porn history and encourages you to stay nasty</v>
      </c>
      <c r="E8" s="27" t="str">
        <f>IFERROR(__xludf.DUMMYFUNCTION("""COMPUTED_VALUE"""),"perverted girlfriend experience, accomplice, rough, choke, femdom, corrupt, pervert encouragement, snuff")</f>
        <v>perverted girlfriend experience, accomplice, rough, choke, femdom, corrupt, pervert encouragement, snuff</v>
      </c>
    </row>
    <row r="9">
      <c r="A9" s="52">
        <f>IFERROR(__xludf.DUMMYFUNCTION("""COMPUTED_VALUE"""),23.0)</f>
        <v>23</v>
      </c>
      <c r="B9" s="51">
        <f>IFERROR(__xludf.DUMMYFUNCTION("""COMPUTED_VALUE"""),44745.0)</f>
        <v>44745</v>
      </c>
      <c r="C9" s="27" t="str">
        <f>IFERROR(__xludf.DUMMYFUNCTION("""COMPUTED_VALUE"""),"Real Silent One Way Call: Hardcore Daycare")</f>
        <v>Real Silent One Way Call: Hardcore Daycare</v>
      </c>
      <c r="D9" s="27" t="str">
        <f>IFERROR(__xludf.DUMMYFUNCTION("""COMPUTED_VALUE"""),"Your crazy girlfriend invites you to the daycare she works at. There's this one kid that's left there for the last hour of the day alone with her. This kid annoys the fuck of her so she invites you over there to torture her together.")</f>
        <v>Your crazy girlfriend invites you to the daycare she works at. There's this one kid that's left there for the last hour of the day alone with her. This kid annoys the fuck of her so she invites you over there to torture her together.</v>
      </c>
      <c r="E9" s="27" t="str">
        <f>IFERROR(__xludf.DUMMYFUNCTION("""COMPUTED_VALUE"""),"fuck pig, puke, snuff, noncon")</f>
        <v>fuck pig, puke, snuff, noncon</v>
      </c>
    </row>
    <row r="10">
      <c r="A10" s="52">
        <f>IFERROR(__xludf.DUMMYFUNCTION("""COMPUTED_VALUE"""),26.0)</f>
        <v>26</v>
      </c>
      <c r="B10" s="51">
        <f>IFERROR(__xludf.DUMMYFUNCTION("""COMPUTED_VALUE"""),44745.0)</f>
        <v>44745</v>
      </c>
      <c r="C10" s="27" t="str">
        <f>IFERROR(__xludf.DUMMYFUNCTION("""COMPUTED_VALUE"""),"Silent One Way Call: Pervy Girlfriend Experience Part 3")</f>
        <v>Silent One Way Call: Pervy Girlfriend Experience Part 3</v>
      </c>
      <c r="D10" s="27" t="str">
        <f>IFERROR(__xludf.DUMMYFUNCTION("""COMPUTED_VALUE"""),"A girl shows up to deliver pizza and your pervy girlfriend just couldn't help herself by pulling inside and having you play with her. ")</f>
        <v>A girl shows up to deliver pizza and your pervy girlfriend just couldn't help herself by pulling inside and having you play with her. </v>
      </c>
      <c r="E10" s="27" t="str">
        <f>IFERROR(__xludf.DUMMYFUNCTION("""COMPUTED_VALUE"""),"perverted gfe, accomplice, rough, snuff, kidnap")</f>
        <v>perverted gfe, accomplice, rough, snuff, kidnap</v>
      </c>
    </row>
    <row r="11">
      <c r="A11" s="52">
        <f>IFERROR(__xludf.DUMMYFUNCTION("""COMPUTED_VALUE"""),28.0)</f>
        <v>28</v>
      </c>
      <c r="B11" s="51">
        <f>IFERROR(__xludf.DUMMYFUNCTION("""COMPUTED_VALUE"""),44746.0)</f>
        <v>44746</v>
      </c>
      <c r="C11" s="27" t="str">
        <f>IFERROR(__xludf.DUMMYFUNCTION("""COMPUTED_VALUE"""),"Silent Call Futa Mommy")</f>
        <v>Silent Call Futa Mommy</v>
      </c>
      <c r="D11" s="27" t="str">
        <f>IFERROR(__xludf.DUMMYFUNCTION("""COMPUTED_VALUE"""),"Mommy has her first futa-heat since giving birth to you and uses you in an unique way.")</f>
        <v>Mommy has her first futa-heat since giving birth to you and uses you in an unique way.</v>
      </c>
      <c r="E11" s="27" t="str">
        <f>IFERROR(__xludf.DUMMYFUNCTION("""COMPUTED_VALUE"""),"futa, mommy cock, mommy cunt, brain fuck, mommy cream, you turn into mommy cream for your sister, snuff")</f>
        <v>futa, mommy cock, mommy cunt, brain fuck, mommy cream, you turn into mommy cream for your sister, snuff</v>
      </c>
    </row>
    <row r="12">
      <c r="A12" s="52">
        <f>IFERROR(__xludf.DUMMYFUNCTION("""COMPUTED_VALUE"""),30.0)</f>
        <v>30</v>
      </c>
      <c r="B12" s="51">
        <f>IFERROR(__xludf.DUMMYFUNCTION("""COMPUTED_VALUE"""),44748.0)</f>
        <v>44748</v>
      </c>
      <c r="C12" s="27" t="str">
        <f>IFERROR(__xludf.DUMMYFUNCTION("""COMPUTED_VALUE"""),"Sadistic Babysitter (Sound Effects)")</f>
        <v>Sadistic Babysitter (Sound Effects)</v>
      </c>
      <c r="D12" s="27" t="str">
        <f>IFERROR(__xludf.DUMMYFUNCTION("""COMPUTED_VALUE"""),"Parents leave their baby with a babysitter for the evening. The babysitter finds the nanny cam and does evil sadistic to the baby all for the camera and her own pleasure.")</f>
        <v>Parents leave their baby with a babysitter for the evening. The babysitter finds the nanny cam and does evil sadistic to the baby all for the camera and her own pleasure.</v>
      </c>
      <c r="E12" s="27" t="str">
        <f>IFERROR(__xludf.DUMMYFUNCTION("""COMPUTED_VALUE"""),"torture, sadistic, violence, abuse, snuff, broken bones")</f>
        <v>torture, sadistic, violence, abuse, snuff, broken bones</v>
      </c>
    </row>
    <row r="13">
      <c r="A13" s="52">
        <f>IFERROR(__xludf.DUMMYFUNCTION("""COMPUTED_VALUE"""),31.0)</f>
        <v>31</v>
      </c>
      <c r="B13" s="51">
        <f>IFERROR(__xludf.DUMMYFUNCTION("""COMPUTED_VALUE"""),44748.0)</f>
        <v>44748</v>
      </c>
      <c r="C13" s="27" t="str">
        <f>IFERROR(__xludf.DUMMYFUNCTION("""COMPUTED_VALUE"""),"Silent One Way Call: Perv Hypno Start/Accomplice Ending")</f>
        <v>Silent One Way Call: Perv Hypno Start/Accomplice Ending</v>
      </c>
      <c r="D13" s="27" t="str">
        <f>IFERROR(__xludf.DUMMYFUNCTION("""COMPUTED_VALUE"""),"One way silent call where I deliver a breathy hypno-ish beginning and finish it up with an accomplice style ending where I tell the listener to take the gift I brought you.")</f>
        <v>One way silent call where I deliver a breathy hypno-ish beginning and finish it up with an accomplice style ending where I tell the listener to take the gift I brought you.</v>
      </c>
      <c r="E13" s="27" t="str">
        <f>IFERROR(__xludf.DUMMYFUNCTION("""COMPUTED_VALUE"""),"hyno, chock full of triggers, accomplice, intoxication, noncon, snuff")</f>
        <v>hyno, chock full of triggers, accomplice, intoxication, noncon, snuff</v>
      </c>
    </row>
    <row r="14">
      <c r="A14" s="52">
        <f>IFERROR(__xludf.DUMMYFUNCTION("""COMPUTED_VALUE"""),34.0)</f>
        <v>34</v>
      </c>
      <c r="B14" s="51">
        <f>IFERROR(__xludf.DUMMYFUNCTION("""COMPUTED_VALUE"""),44750.0)</f>
        <v>44750</v>
      </c>
      <c r="C14" s="27" t="str">
        <f>IFERROR(__xludf.DUMMYFUNCTION("""COMPUTED_VALUE"""),"Custom: The Naughty Babysitter ")</f>
        <v>Custom: The Naughty Babysitter </v>
      </c>
      <c r="D14" s="27" t="str">
        <f>IFERROR(__xludf.DUMMYFUNCTION("""COMPUTED_VALUE"""),"A babysitter has been on the job for a year. She has some evil revenge plans in store.")</f>
        <v>A babysitter has been on the job for a year. She has some evil revenge plans in store.</v>
      </c>
      <c r="E14" s="27" t="str">
        <f>IFERROR(__xludf.DUMMYFUNCTION("""COMPUTED_VALUE"""),"babysitter, lesbian perv, scissoring, finger fucking, snuff, revenge, sadistic")</f>
        <v>babysitter, lesbian perv, scissoring, finger fucking, snuff, revenge, sadistic</v>
      </c>
    </row>
    <row r="15">
      <c r="A15" s="52">
        <f>IFERROR(__xludf.DUMMYFUNCTION("""COMPUTED_VALUE"""),36.0)</f>
        <v>36</v>
      </c>
      <c r="B15" s="51">
        <f>IFERROR(__xludf.DUMMYFUNCTION("""COMPUTED_VALUE"""),44753.0)</f>
        <v>44753</v>
      </c>
      <c r="C15" s="27" t="str">
        <f>IFERROR(__xludf.DUMMYFUNCTION("""COMPUTED_VALUE"""),"Real Silent Call: Perv Partners")</f>
        <v>Real Silent Call: Perv Partners</v>
      </c>
      <c r="D15" s="27" t="str">
        <f>IFERROR(__xludf.DUMMYFUNCTION("""COMPUTED_VALUE"""),"You (the listener) are a new neighbor who is a notorious sick fuck and you get a knock on the door from someone who is your biggest fan and wants to be your partner in crime")</f>
        <v>You (the listener) are a new neighbor who is a notorious sick fuck and you get a knock on the door from someone who is your biggest fan and wants to be your partner in crime</v>
      </c>
      <c r="E15" s="27" t="str">
        <f>IFERROR(__xludf.DUMMYFUNCTION("""COMPUTED_VALUE"""),"phone sex worker got mind fucked, accomplice, snuff, noncon")</f>
        <v>phone sex worker got mind fucked, accomplice, snuff, noncon</v>
      </c>
    </row>
    <row r="16">
      <c r="A16" s="52">
        <f>IFERROR(__xludf.DUMMYFUNCTION("""COMPUTED_VALUE"""),47.0)</f>
        <v>47</v>
      </c>
      <c r="B16" s="51">
        <f>IFERROR(__xludf.DUMMYFUNCTION("""COMPUTED_VALUE"""),44759.0)</f>
        <v>44759</v>
      </c>
      <c r="C16" s="27" t="str">
        <f>IFERROR(__xludf.DUMMYFUNCTION("""COMPUTED_VALUE"""),"Silent One Way: Girlfriend Humiliates You")</f>
        <v>Silent One Way: Girlfriend Humiliates You</v>
      </c>
      <c r="D16" s="27" t="str">
        <f>IFERROR(__xludf.DUMMYFUNCTION("""COMPUTED_VALUE"""),"Your girlfriend finds you sexting with some little whore. She humiliates you for being a sick fuck and invites her over. ")</f>
        <v>Your girlfriend finds you sexting with some little whore. She humiliates you for being a sick fuck and invites her over. </v>
      </c>
      <c r="E16" s="27" t="str">
        <f>IFERROR(__xludf.DUMMYFUNCTION("""COMPUTED_VALUE"""),"twisted girlfriend experience, humiliation, snuff")</f>
        <v>twisted girlfriend experience, humiliation, snuff</v>
      </c>
    </row>
    <row r="17">
      <c r="A17" s="52">
        <f>IFERROR(__xludf.DUMMYFUNCTION("""COMPUTED_VALUE"""),51.0)</f>
        <v>51</v>
      </c>
      <c r="B17" s="51">
        <f>IFERROR(__xludf.DUMMYFUNCTION("""COMPUTED_VALUE"""),44762.0)</f>
        <v>44762</v>
      </c>
      <c r="C17" s="27" t="str">
        <f>IFERROR(__xludf.DUMMYFUNCTION("""COMPUTED_VALUE"""),"Custom Fill: First Date w/Bad Mom")</f>
        <v>Custom Fill: First Date w/Bad Mom</v>
      </c>
      <c r="D17" s="27" t="str">
        <f>IFERROR(__xludf.DUMMYFUNCTION("""COMPUTED_VALUE"""),"We met online. I was your PSO for a year. We learned we lived local to each other and decided to meet up at a park in front of playground. We scope out a couple cuties and I convince you to let me lure them in and take them back to my empty house where yo"&amp;"u have some fun with them. Afterwards, I try to do a bit of homewrecking by offering my own as free use so please come be my boyfriend! ")</f>
        <v>We met online. I was your PSO for a year. We learned we lived local to each other and decided to meet up at a park in front of playground. We scope out a couple cuties and I convince you to let me lure them in and take them back to my empty house where you have some fun with them. Afterwards, I try to do a bit of homewrecking by offering my own as free use so please come be my boyfriend! </v>
      </c>
      <c r="E17" s="27" t="str">
        <f>IFERROR(__xludf.DUMMYFUNCTION("""COMPUTED_VALUE""")," accomplice, deepthroat, anal, choking, snuff, degradation, homewrecking")</f>
        <v> accomplice, deepthroat, anal, choking, snuff, degradation, homewrecking</v>
      </c>
    </row>
    <row r="18">
      <c r="A18" s="52">
        <f>IFERROR(__xludf.DUMMYFUNCTION("""COMPUTED_VALUE"""),52.0)</f>
        <v>52</v>
      </c>
      <c r="B18" s="51">
        <f>IFERROR(__xludf.DUMMYFUNCTION("""COMPUTED_VALUE"""),44766.0)</f>
        <v>44766</v>
      </c>
      <c r="C18" s="27" t="str">
        <f>IFERROR(__xludf.DUMMYFUNCTION("""COMPUTED_VALUE"""),"Custom Fill: Mommy Directs Daughter's Final Scene")</f>
        <v>Custom Fill: Mommy Directs Daughter's Final Scene</v>
      </c>
      <c r="D18" s="27" t="str">
        <f>IFERROR(__xludf.DUMMYFUNCTION("""COMPUTED_VALUE""")," I am a mom and you are step daddy to my daughters. I direct a scene where you fuck our daughter one last time on film and we snuff her using a guillotine. She's been such a lucrative star for us! ")</f>
        <v> I am a mom and you are step daddy to my daughters. I direct a scene where you fuck our daughter one last time on film and we snuff her using a guillotine. She's been such a lucrative star for us! </v>
      </c>
      <c r="E18" s="27" t="str">
        <f>IFERROR(__xludf.DUMMYFUNCTION("""COMPUTED_VALUE"""),"guillotine, beheading, use head after, gore, porn production, snuff")</f>
        <v>guillotine, beheading, use head after, gore, porn production, snuff</v>
      </c>
    </row>
    <row r="19">
      <c r="A19" s="52">
        <f>IFERROR(__xludf.DUMMYFUNCTION("""COMPUTED_VALUE"""),63.0)</f>
        <v>63</v>
      </c>
      <c r="B19" s="51">
        <f>IFERROR(__xludf.DUMMYFUNCTION("""COMPUTED_VALUE"""),44773.0)</f>
        <v>44773</v>
      </c>
      <c r="C19" s="27" t="str">
        <f>IFERROR(__xludf.DUMMYFUNCTION("""COMPUTED_VALUE"""),"Script Fill: Snuffing Girl Scouts For Charity...Impregnated &amp; Snuffed by Mommy")</f>
        <v>Script Fill: Snuffing Girl Scouts For Charity...Impregnated &amp; Snuffed by Mommy</v>
      </c>
      <c r="D19" s="27" t="str">
        <f>IFERROR(__xludf.DUMMYFUNCTION("""COMPUTED_VALUE"""),"Two futa girls get fucked, impregnated, and then snuffed by their futa mommy. ")</f>
        <v>Two futa girls get fucked, impregnated, and then snuffed by their futa mommy. </v>
      </c>
      <c r="E19" s="27" t="str">
        <f>IFERROR(__xludf.DUMMYFUNCTION("""COMPUTED_VALUE"""),"Futa, breed, mommy cock, snuff")</f>
        <v>Futa, breed, mommy cock, snuff</v>
      </c>
    </row>
    <row r="20">
      <c r="A20" s="52">
        <f>IFERROR(__xludf.DUMMYFUNCTION("""COMPUTED_VALUE"""),67.0)</f>
        <v>67</v>
      </c>
      <c r="B20" s="51">
        <f>IFERROR(__xludf.DUMMYFUNCTION("""COMPUTED_VALUE"""),44775.0)</f>
        <v>44775</v>
      </c>
      <c r="C20" s="27" t="str">
        <f>IFERROR(__xludf.DUMMYFUNCTION("""COMPUTED_VALUE"""),"Silent Call: Extreme Accomplice")</f>
        <v>Silent Call: Extreme Accomplice</v>
      </c>
      <c r="D20" s="27" t="str">
        <f>IFERROR(__xludf.DUMMYFUNCTION("""COMPUTED_VALUE"""),"I bring home a lost girl and most of the perspective is me talking to the girl while you use her holes. Until I decide to take her life while she's being used. ")</f>
        <v>I bring home a lost girl and most of the perspective is me talking to the girl while you use her holes. Until I decide to take her life while she's being used. </v>
      </c>
      <c r="E20" s="27" t="str">
        <f>IFERROR(__xludf.DUMMYFUNCTION("""COMPUTED_VALUE"""),"stolen, accomplice, oral, anal, empty promises, extreme, snuff")</f>
        <v>stolen, accomplice, oral, anal, empty promises, extreme, snuff</v>
      </c>
    </row>
    <row r="21">
      <c r="A21" s="52">
        <f>IFERROR(__xludf.DUMMYFUNCTION("""COMPUTED_VALUE"""),69.0)</f>
        <v>69</v>
      </c>
      <c r="B21" s="51">
        <f>IFERROR(__xludf.DUMMYFUNCTION("""COMPUTED_VALUE"""),44777.0)</f>
        <v>44777</v>
      </c>
      <c r="C21" s="27" t="str">
        <f>IFERROR(__xludf.DUMMYFUNCTION("""COMPUTED_VALUE"""),"Silent Call: Ramble Futa GF Snuff")</f>
        <v>Silent Call: Ramble Futa GF Snuff</v>
      </c>
      <c r="D21" s="27" t="str">
        <f>IFERROR(__xludf.DUMMYFUNCTION("""COMPUTED_VALUE"""),"You're my futa girlfriend and I want you to use my daughter and then snuff her. ")</f>
        <v>You're my futa girlfriend and I want you to use my daughter and then snuff her. </v>
      </c>
      <c r="E21" s="27" t="str">
        <f>IFERROR(__xludf.DUMMYFUNCTION("""COMPUTED_VALUE"""),"Futa, knife play, fuck wounds, fuck brains, gore, snuff")</f>
        <v>Futa, knife play, fuck wounds, fuck brains, gore, snuff</v>
      </c>
    </row>
    <row r="22">
      <c r="A22" s="52">
        <f>IFERROR(__xludf.DUMMYFUNCTION("""COMPUTED_VALUE"""),77.0)</f>
        <v>77</v>
      </c>
      <c r="B22" s="51">
        <f>IFERROR(__xludf.DUMMYFUNCTION("""COMPUTED_VALUE"""),44784.0)</f>
        <v>44784</v>
      </c>
      <c r="C22" s="27" t="str">
        <f>IFERROR(__xludf.DUMMYFUNCTION("""COMPUTED_VALUE"""),"Silent Call: Futa Mommy Punishes You")</f>
        <v>Silent Call: Futa Mommy Punishes You</v>
      </c>
      <c r="D22" s="27" t="str">
        <f>IFERROR(__xludf.DUMMYFUNCTION("""COMPUTED_VALUE"""),"Mommy caught you, her babygirl, doing naughty things and teaches you a lesson")</f>
        <v>Mommy caught you, her babygirl, doing naughty things and teaches you a lesson</v>
      </c>
      <c r="E22" s="27" t="str">
        <f>IFERROR(__xludf.DUMMYFUNCTION("""COMPUTED_VALUE"""),"throat fuck, mommy cock rips you apart, gore, snuff, futa")</f>
        <v>throat fuck, mommy cock rips you apart, gore, snuff, futa</v>
      </c>
    </row>
    <row r="23">
      <c r="A23" s="52">
        <f>IFERROR(__xludf.DUMMYFUNCTION("""COMPUTED_VALUE"""),79.0)</f>
        <v>79</v>
      </c>
      <c r="B23" s="51">
        <f>IFERROR(__xludf.DUMMYFUNCTION("""COMPUTED_VALUE"""),44788.0)</f>
        <v>44788</v>
      </c>
      <c r="C23" s="27" t="str">
        <f>IFERROR(__xludf.DUMMYFUNCTION("""COMPUTED_VALUE"""),"Silent Call: Mommy's Snuff Whore")</f>
        <v>Silent Call: Mommy's Snuff Whore</v>
      </c>
      <c r="D23" s="27" t="str">
        <f>IFERROR(__xludf.DUMMYFUNCTION("""COMPUTED_VALUE""")," Whisper-y, hypno-ish quick and dirty mommy futa rape and snuff. ")</f>
        <v> Whisper-y, hypno-ish quick and dirty mommy futa rape and snuff. </v>
      </c>
      <c r="E23" s="27" t="str">
        <f>IFERROR(__xludf.DUMMYFUNCTION("""COMPUTED_VALUE"""),"futa, crush into mommy's cunt, snuff")</f>
        <v>futa, crush into mommy's cunt, snuff</v>
      </c>
    </row>
    <row r="24">
      <c r="A24" s="52">
        <f>IFERROR(__xludf.DUMMYFUNCTION("""COMPUTED_VALUE"""),85.0)</f>
        <v>85</v>
      </c>
      <c r="B24" s="51">
        <f>IFERROR(__xludf.DUMMYFUNCTION("""COMPUTED_VALUE"""),44791.0)</f>
        <v>44791</v>
      </c>
      <c r="C24" s="27" t="str">
        <f>IFERROR(__xludf.DUMMYFUNCTION("""COMPUTED_VALUE"""),"Custom Fill: Proving Myself To You")</f>
        <v>Custom Fill: Proving Myself To You</v>
      </c>
      <c r="D24" s="27" t="str">
        <f>IFERROR(__xludf.DUMMYFUNCTION("""COMPUTED_VALUE"""),"You're my boyfriend and I am a fat and ugly pig. I try to persuade why I am worth the trouble of staying with me. I do have something to offer you that's extreme")</f>
        <v>You're my boyfriend and I am a fat and ugly pig. I try to persuade why I am worth the trouble of staying with me. I do have something to offer you that's extreme</v>
      </c>
      <c r="E24" s="27" t="str">
        <f>IFERROR(__xludf.DUMMYFUNCTION("""COMPUTED_VALUE"""),"misogyny, noncon, extreme, abuse, anal prolapse, molest, snuff")</f>
        <v>misogyny, noncon, extreme, abuse, anal prolapse, molest, snuff</v>
      </c>
    </row>
    <row r="25">
      <c r="A25" s="52">
        <f>IFERROR(__xludf.DUMMYFUNCTION("""COMPUTED_VALUE"""),88.0)</f>
        <v>88</v>
      </c>
      <c r="B25" s="51">
        <f>IFERROR(__xludf.DUMMYFUNCTION("""COMPUTED_VALUE"""),44792.0)</f>
        <v>44792</v>
      </c>
      <c r="C25" s="27" t="str">
        <f>IFERROR(__xludf.DUMMYFUNCTION("""COMPUTED_VALUE"""),"Silent Call: Live Metronome Hypno")</f>
        <v>Silent Call: Live Metronome Hypno</v>
      </c>
      <c r="D25" s="27" t="str">
        <f>IFERROR(__xludf.DUMMYFUNCTION("""COMPUTED_VALUE""")," My filthy subject wanted some hypno popper encouragement so of course I obliged. ")</f>
        <v> My filthy subject wanted some hypno popper encouragement so of course I obliged. </v>
      </c>
      <c r="E25" s="27" t="str">
        <f>IFERROR(__xludf.DUMMYFUNCTION("""COMPUTED_VALUE"""),"hypno, poppers encouragement, get high, I've ruined you for regular sex, you're obsessed fantasizing about extreme fantasies, you would do anything for me, I'm mindfucking you, it turns me on to corrupt you, snuff")</f>
        <v>hypno, poppers encouragement, get high, I've ruined you for regular sex, you're obsessed fantasizing about extreme fantasies, you would do anything for me, I'm mindfucking you, it turns me on to corrupt you, snuff</v>
      </c>
    </row>
    <row r="26">
      <c r="A26" s="52">
        <f>IFERROR(__xludf.DUMMYFUNCTION("""COMPUTED_VALUE"""),100.0)</f>
        <v>100</v>
      </c>
      <c r="B26" s="51">
        <f>IFERROR(__xludf.DUMMYFUNCTION("""COMPUTED_VALUE"""),44806.0)</f>
        <v>44806</v>
      </c>
      <c r="C26" s="27" t="str">
        <f>IFERROR(__xludf.DUMMYFUNCTION("""COMPUTED_VALUE"""),"Custom Fill: Mommy Loses Her Head")</f>
        <v>Custom Fill: Mommy Loses Her Head</v>
      </c>
      <c r="D26" s="27" t="str">
        <f>IFERROR(__xludf.DUMMYFUNCTION("""COMPUTED_VALUE"""),"A white milf (me) introduces an adopted African man into her home for the first day. Her husband is a sissy cucky bitch and she has two daughters. She plays accomplice, cuckoldress, and misogynistic snuff slut. ")</f>
        <v>A white milf (me) introduces an adopted African man into her home for the first day. Her husband is a sissy cucky bitch and she has two daughters. She plays accomplice, cuckoldress, and misogynistic snuff slut. </v>
      </c>
      <c r="E26" s="27" t="str">
        <f>IFERROR(__xludf.DUMMYFUNCTION("""COMPUTED_VALUE"""),"raceplay, cuckold, humiliation, snuff, guillotine, anal, cunt, deepthroat, beheaded throat rape, SPH")</f>
        <v>raceplay, cuckold, humiliation, snuff, guillotine, anal, cunt, deepthroat, beheaded throat rape, SPH</v>
      </c>
    </row>
    <row r="27">
      <c r="A27" s="52">
        <f>IFERROR(__xludf.DUMMYFUNCTION("""COMPUTED_VALUE"""),101.0)</f>
        <v>101</v>
      </c>
      <c r="B27" s="51">
        <f>IFERROR(__xludf.DUMMYFUNCTION("""COMPUTED_VALUE"""),44806.0)</f>
        <v>44806</v>
      </c>
      <c r="C27" s="27" t="str">
        <f>IFERROR(__xludf.DUMMYFUNCTION("""COMPUTED_VALUE"""),"Silent Call: Your Favorite Accomplice")</f>
        <v>Silent Call: Your Favorite Accomplice</v>
      </c>
      <c r="D27" s="27" t="str">
        <f>IFERROR(__xludf.DUMMYFUNCTION("""COMPUTED_VALUE""")," I have a cutie all prepped and ready for you. I play your favorite accomplice and guide you through two loads, the final load being extreme.")</f>
        <v> I have a cutie all prepped and ready for you. I play your favorite accomplice and guide you through two loads, the final load being extreme.</v>
      </c>
      <c r="E27" s="27" t="str">
        <f>IFERROR(__xludf.DUMMYFUNCTION("""COMPUTED_VALUE""")," accomplice, gooner, deepthroat, choking, creampie, facial, snuff")</f>
        <v> accomplice, gooner, deepthroat, choking, creampie, facial, snuff</v>
      </c>
    </row>
    <row r="28">
      <c r="A28" s="52">
        <f>IFERROR(__xludf.DUMMYFUNCTION("""COMPUTED_VALUE"""),103.0)</f>
        <v>103</v>
      </c>
      <c r="B28" s="51">
        <f>IFERROR(__xludf.DUMMYFUNCTION("""COMPUTED_VALUE"""),44807.0)</f>
        <v>44807</v>
      </c>
      <c r="C28" s="27" t="str">
        <f>IFERROR(__xludf.DUMMYFUNCTION("""COMPUTED_VALUE"""),"Custom Fill: Pounded &amp; Gone")</f>
        <v>Custom Fill: Pounded &amp; Gone</v>
      </c>
      <c r="D28" s="27" t="str">
        <f>IFERROR(__xludf.DUMMYFUNCTION("""COMPUTED_VALUE"""),"Tessa (me) is one of the stars in the porn series: Cunts Pounded &amp; Outed")</f>
        <v>Tessa (me) is one of the stars in the porn series: Cunts Pounded &amp; Outed</v>
      </c>
      <c r="E28" s="27" t="str">
        <f>IFERROR(__xludf.DUMMYFUNCTION("""COMPUTED_VALUE"""),"extreme ending, creampie, begging, snuff")</f>
        <v>extreme ending, creampie, begging, snuff</v>
      </c>
    </row>
    <row r="29">
      <c r="A29" s="52">
        <f>IFERROR(__xludf.DUMMYFUNCTION("""COMPUTED_VALUE"""),113.0)</f>
        <v>113</v>
      </c>
      <c r="B29" s="51">
        <f>IFERROR(__xludf.DUMMYFUNCTION("""COMPUTED_VALUE"""),44819.0)</f>
        <v>44819</v>
      </c>
      <c r="C29" s="27" t="str">
        <f>IFERROR(__xludf.DUMMYFUNCTION("""COMPUTED_VALUE"""),"Custom: Rape Cabin Part 2")</f>
        <v>Custom: Rape Cabin Part 2</v>
      </c>
      <c r="D29" s="27" t="str">
        <f>IFERROR(__xludf.DUMMYFUNCTION("""COMPUTED_VALUE""")," You (the listener) and your accomplice decide your cock needs more noncon. You pick the lower one and your accomplice wants an extreme ending. ")</f>
        <v> You (the listener) and your accomplice decide your cock needs more noncon. You pick the lower one and your accomplice wants an extreme ending. </v>
      </c>
      <c r="E29" s="27" t="str">
        <f>IFERROR(__xludf.DUMMYFUNCTION("""COMPUTED_VALUE"""),"accomplice, unconscious, intoxicated/drugged, deep throat, cowgirl, anal, creampies, snuff")</f>
        <v>accomplice, unconscious, intoxicated/drugged, deep throat, cowgirl, anal, creampies, snuff</v>
      </c>
    </row>
    <row r="30">
      <c r="A30" s="52">
        <f>IFERROR(__xludf.DUMMYFUNCTION("""COMPUTED_VALUE"""),117.0)</f>
        <v>117</v>
      </c>
      <c r="B30" s="52" t="str">
        <f>IFERROR(__xludf.DUMMYFUNCTION("""COMPUTED_VALUE"""),"9/224")</f>
        <v>9/224</v>
      </c>
      <c r="C30" s="27" t="str">
        <f>IFERROR(__xludf.DUMMYFUNCTION("""COMPUTED_VALUE"""),"Silent Call: Tickle Princess Gets Snuffed")</f>
        <v>Silent Call: Tickle Princess Gets Snuffed</v>
      </c>
      <c r="D30" s="27" t="str">
        <f>IFERROR(__xludf.DUMMYFUNCTION("""COMPUTED_VALUE"""),"I'm your accomplice and we have a kidnapped cutie ready for you to use. You're going to use two of her holes and also tickle and snuff her.")</f>
        <v>I'm your accomplice and we have a kidnapped cutie ready for you to use. You're going to use two of her holes and also tickle and snuff her.</v>
      </c>
      <c r="E30" s="27" t="str">
        <f>IFERROR(__xludf.DUMMYFUNCTION("""COMPUTED_VALUE"""),"throat fuck, accomplice, tickled during rape, which makes her giggle and that's humiliating, creampie her after my cum countdown, snuff")</f>
        <v>throat fuck, accomplice, tickled during rape, which makes her giggle and that's humiliating, creampie her after my cum countdown, snuff</v>
      </c>
    </row>
    <row r="31">
      <c r="A31" s="52">
        <f>IFERROR(__xludf.DUMMYFUNCTION("""COMPUTED_VALUE"""),122.0)</f>
        <v>122</v>
      </c>
      <c r="B31" s="51">
        <f>IFERROR(__xludf.DUMMYFUNCTION("""COMPUTED_VALUE"""),44834.0)</f>
        <v>44834</v>
      </c>
      <c r="C31" s="27" t="str">
        <f>IFERROR(__xludf.DUMMYFUNCTION("""COMPUTED_VALUE"""),"Custom: Rape Cabin Part 3")</f>
        <v>Custom: Rape Cabin Part 3</v>
      </c>
      <c r="D31" s="27" t="str">
        <f>IFERROR(__xludf.DUMMYFUNCTION("""COMPUTED_VALUE"""),"In part 2, me and Ian lost control and snuffed out one. In part 3, we realize that we can't send the other sisters back without the other one, so we make a plan and work on sister #2. ")</f>
        <v>In part 2, me and Ian lost control and snuffed out one. In part 3, we realize that we can't send the other sisters back without the other one, so we make a plan and work on sister #2. </v>
      </c>
      <c r="E31" s="27" t="str">
        <f>IFERROR(__xludf.DUMMYFUNCTION("""COMPUTED_VALUE"""),"forced intoxication, violent, throat rape, anal, abuse, sadistic, accomplice, accomplice gets off with her face, bruises, extreme, gagging sfx, snuff")</f>
        <v>forced intoxication, violent, throat rape, anal, abuse, sadistic, accomplice, accomplice gets off with her face, bruises, extreme, gagging sfx, snuff</v>
      </c>
    </row>
    <row r="32">
      <c r="A32" s="52">
        <f>IFERROR(__xludf.DUMMYFUNCTION("""COMPUTED_VALUE"""),135.0)</f>
        <v>135</v>
      </c>
      <c r="B32" s="51">
        <f>IFERROR(__xludf.DUMMYFUNCTION("""COMPUTED_VALUE"""),44852.0)</f>
        <v>44852</v>
      </c>
      <c r="C32" s="27" t="str">
        <f>IFERROR(__xludf.DUMMYFUNCTION("""COMPUTED_VALUE"""),"Custom: Bailey Pounded &amp; Snuffed")</f>
        <v>Custom: Bailey Pounded &amp; Snuffed</v>
      </c>
      <c r="D32" s="27" t="str">
        <f>IFERROR(__xludf.DUMMYFUNCTION("""COMPUTED_VALUE"""),"I play a girl that's a star of Pounded &amp; Snuffed series. I beg the new guy to pound and snuff me. ")</f>
        <v>I play a girl that's a star of Pounded &amp; Snuffed series. I beg the new guy to pound and snuff me. </v>
      </c>
      <c r="E32" s="27" t="str">
        <f>IFERROR(__xludf.DUMMYFUNCTION("""COMPUTED_VALUE"""),"blow job sounds, mating press, cowgirl, doggy style, moans, snuff")</f>
        <v>blow job sounds, mating press, cowgirl, doggy style, moans, snuff</v>
      </c>
    </row>
    <row r="33">
      <c r="A33" s="52">
        <f>IFERROR(__xludf.DUMMYFUNCTION("""COMPUTED_VALUE"""),142.0)</f>
        <v>142</v>
      </c>
      <c r="B33" s="51">
        <f>IFERROR(__xludf.DUMMYFUNCTION("""COMPUTED_VALUE"""),44858.0)</f>
        <v>44858</v>
      </c>
      <c r="C33" s="27" t="str">
        <f>IFERROR(__xludf.DUMMYFUNCTION("""COMPUTED_VALUE"""),"Tale of Two Porn Mommies")</f>
        <v>Tale of Two Porn Mommies</v>
      </c>
      <c r="D33" s="27" t="str">
        <f>IFERROR(__xludf.DUMMYFUNCTION("""COMPUTED_VALUE"""),"Two porn moms give their daughters their first porn debut: two girl gangbang! ")</f>
        <v>Two porn moms give their daughters their first porn debut: two girl gangbang! </v>
      </c>
      <c r="E33" s="27" t="str">
        <f>IFERROR(__xludf.DUMMYFUNCTION("""COMPUTED_VALUE"""),"girl on girl pegging, snuff, kissing, lingerie, porn sluts, gangbang, pervert encouragement")</f>
        <v>girl on girl pegging, snuff, kissing, lingerie, porn sluts, gangbang, pervert encouragement</v>
      </c>
    </row>
    <row r="34">
      <c r="A34" s="52">
        <f>IFERROR(__xludf.DUMMYFUNCTION("""COMPUTED_VALUE"""),156.0)</f>
        <v>156</v>
      </c>
      <c r="B34" s="51">
        <f>IFERROR(__xludf.DUMMYFUNCTION("""COMPUTED_VALUE"""),44874.0)</f>
        <v>44874</v>
      </c>
      <c r="C34" s="27" t="str">
        <f>IFERROR(__xludf.DUMMYFUNCTION("""COMPUTED_VALUE"""),"Custom: Snuff Couple")</f>
        <v>Custom: Snuff Couple</v>
      </c>
      <c r="D34" s="27" t="str">
        <f>IFERROR(__xludf.DUMMYFUNCTION("""COMPUTED_VALUE"""),"I'm your girlfriend and we kidnap a little cutie to torture, rape, and snuff together. ")</f>
        <v>I'm your girlfriend and we kidnap a little cutie to torture, rape, and snuff together. </v>
      </c>
      <c r="E34" s="27" t="str">
        <f>IFERROR(__xludf.DUMMYFUNCTION("""COMPUTED_VALUE"""),"sadistic, spit, cunt spanks, choking, face sitting, face slaps, pussy licking sounds, cunt wall scratching w/long nails, snuff")</f>
        <v>sadistic, spit, cunt spanks, choking, face sitting, face slaps, pussy licking sounds, cunt wall scratching w/long nails, snuff</v>
      </c>
    </row>
    <row r="35">
      <c r="A35" s="52">
        <f>IFERROR(__xludf.DUMMYFUNCTION("""COMPUTED_VALUE"""),160.0)</f>
        <v>160</v>
      </c>
      <c r="B35" s="51">
        <f>IFERROR(__xludf.DUMMYFUNCTION("""COMPUTED_VALUE"""),44879.0)</f>
        <v>44879</v>
      </c>
      <c r="C35" s="27" t="str">
        <f>IFERROR(__xludf.DUMMYFUNCTION("""COMPUTED_VALUE"""),"Custom: Rape Cabin Part 4")</f>
        <v>Custom: Rape Cabin Part 4</v>
      </c>
      <c r="D35" s="27" t="str">
        <f>IFERROR(__xludf.DUMMYFUNCTION("""COMPUTED_VALUE"""),"Ian and his accomplice find themselves with one unconscious girl left. A whiskey fueled Ian decides to snuff her immediately and use all three holes. ")</f>
        <v>Ian and his accomplice find themselves with one unconscious girl left. A whiskey fueled Ian decides to snuff her immediately and use all three holes. </v>
      </c>
      <c r="E35" s="27" t="str">
        <f>IFERROR(__xludf.DUMMYFUNCTION("""COMPUTED_VALUE"""),"accomplice, encourage, skull fuck, creampie, anal creampie, multiple cum loads, snuff")</f>
        <v>accomplice, encourage, skull fuck, creampie, anal creampie, multiple cum loads, snuff</v>
      </c>
    </row>
    <row r="36">
      <c r="A36" s="52">
        <f>IFERROR(__xludf.DUMMYFUNCTION("""COMPUTED_VALUE"""),165.0)</f>
        <v>165</v>
      </c>
      <c r="B36" s="51">
        <f>IFERROR(__xludf.DUMMYFUNCTION("""COMPUTED_VALUE"""),44884.0)</f>
        <v>44884</v>
      </c>
      <c r="C36" s="27" t="str">
        <f>IFERROR(__xludf.DUMMYFUNCTION("""COMPUTED_VALUE"""),"Silent Call: First Time Necro")</f>
        <v>Silent Call: First Time Necro</v>
      </c>
      <c r="D36" s="27" t="str">
        <f>IFERROR(__xludf.DUMMYFUNCTION("""COMPUTED_VALUE"""),"I'm your accomplice and you've snuffed before, but this time I encourage you to snuff and then necro fuck her throat.")</f>
        <v>I'm your accomplice and you've snuffed before, but this time I encourage you to snuff and then necro fuck her throat.</v>
      </c>
      <c r="E36" s="27" t="str">
        <f>IFERROR(__xludf.DUMMYFUNCTION("""COMPUTED_VALUE"""),"accomplice, bondage, no anal, choke, snuff, throat creampie")</f>
        <v>accomplice, bondage, no anal, choke, snuff, throat creampie</v>
      </c>
    </row>
    <row r="37">
      <c r="A37" s="52">
        <f>IFERROR(__xludf.DUMMYFUNCTION("""COMPUTED_VALUE"""),176.0)</f>
        <v>176</v>
      </c>
      <c r="B37" s="51">
        <f>IFERROR(__xludf.DUMMYFUNCTION("""COMPUTED_VALUE"""),44894.0)</f>
        <v>44894</v>
      </c>
      <c r="C37" s="27" t="str">
        <f>IFERROR(__xludf.DUMMYFUNCTION("""COMPUTED_VALUE"""),"Script FIll: I'm So Happy I Met a REAL Man (https://pastes.psstaudio.com/post/05388a2eace74dc7b39013ba5636429e)")</f>
        <v>Script FIll: I'm So Happy I Met a REAL Man (https://pastes.psstaudio.com/post/05388a2eace74dc7b39013ba5636429e)</v>
      </c>
      <c r="D37" s="27" t="str">
        <f>IFERROR(__xludf.DUMMYFUNCTION("""COMPUTED_VALUE"""),"A nasty, sick woman meets a real man online and picks him up from the airport and has to pull over because she's so turned on by their talk of what she's going to have him to her kids. This script pretty much hits almost EVERY extreme taboo topic. Here's "&amp;"what a no limit audio sounds like!")</f>
        <v>A nasty, sick woman meets a real man online and picks him up from the airport and has to pull over because she's so turned on by their talk of what she's going to have him to her kids. This script pretty much hits almost EVERY extreme taboo topic. Here's what a no limit audio sounds like!</v>
      </c>
      <c r="E37" s="27" t="str">
        <f>IFERROR(__xludf.DUMMYFUNCTION("""COMPUTED_VALUE"""),"extreme dirty talk, bad mom, forced bi, drug addicted, moaning, masturbation, snuff, raceplay")</f>
        <v>extreme dirty talk, bad mom, forced bi, drug addicted, moaning, masturbation, snuff, raceplay</v>
      </c>
    </row>
    <row r="38">
      <c r="A38" s="52">
        <f>IFERROR(__xludf.DUMMYFUNCTION("""COMPUTED_VALUE"""),195.0)</f>
        <v>195</v>
      </c>
      <c r="B38" s="51">
        <f>IFERROR(__xludf.DUMMYFUNCTION("""COMPUTED_VALUE"""),44924.0)</f>
        <v>44924</v>
      </c>
      <c r="C38" s="27" t="str">
        <f>IFERROR(__xludf.DUMMYFUNCTION("""COMPUTED_VALUE"""),"Script Fill: Fucking Callie")</f>
        <v>Script Fill: Fucking Callie</v>
      </c>
      <c r="D38" s="27" t="str">
        <f>IFERROR(__xludf.DUMMYFUNCTION("""COMPUTED_VALUE"""),"A girl's adult neighbor has sex with her for the first time. After they fuck, he falls into fantasy dream that is dark and twisted, as they nap together in bed.")</f>
        <v>A girl's adult neighbor has sex with her for the first time. After they fuck, he falls into fantasy dream that is dark and twisted, as they nap together in bed.</v>
      </c>
      <c r="E38" s="27" t="str">
        <f>IFERROR(__xludf.DUMMYFUNCTION("""COMPUTED_VALUE"""),"2nd person, pussy eating, bareback, creampie, fantasy within a fantasy, breeding, impregnation, violent, kniving, blood, gory, snuff")</f>
        <v>2nd person, pussy eating, bareback, creampie, fantasy within a fantasy, breeding, impregnation, violent, kniving, blood, gory, snuff</v>
      </c>
    </row>
    <row r="39">
      <c r="A39" s="52">
        <f>IFERROR(__xludf.DUMMYFUNCTION("""COMPUTED_VALUE"""),216.0)</f>
        <v>216</v>
      </c>
      <c r="B39" s="51">
        <f>IFERROR(__xludf.DUMMYFUNCTION("""COMPUTED_VALUE"""),44944.0)</f>
        <v>44944</v>
      </c>
      <c r="C39" s="27" t="str">
        <f>IFERROR(__xludf.DUMMYFUNCTION("""COMPUTED_VALUE"""),"Custom: Succubus Turns You")</f>
        <v>Custom: Succubus Turns You</v>
      </c>
      <c r="D39" s="27" t="str">
        <f>IFERROR(__xludf.DUMMYFUNCTION("""COMPUTED_VALUE"""),"I'm a special kind of succubus demon. One that feeds off extreme perversions. I find you (the listener) and think you'd make an excellent imp/sissy bitch to me, but first, I have to test you with an initiation. ")</f>
        <v>I'm a special kind of succubus demon. One that feeds off extreme perversions. I find you (the listener) and think you'd make an excellent imp/sissy bitch to me, but first, I have to test you with an initiation. </v>
      </c>
      <c r="E39" s="27" t="str">
        <f>IFERROR(__xludf.DUMMYFUNCTION("""COMPUTED_VALUE"""),"blasphemy, satanic, succubus &amp; imp relationship, sissy, encouraged bi, church, extreme ap, snuff, oral, anal, spit roasted, anal creampie, cum eating")</f>
        <v>blasphemy, satanic, succubus &amp; imp relationship, sissy, encouraged bi, church, extreme ap, snuff, oral, anal, spit roasted, anal creampie, cum eating</v>
      </c>
    </row>
    <row r="40">
      <c r="A40" s="52">
        <f>IFERROR(__xludf.DUMMYFUNCTION("""COMPUTED_VALUE"""),226.0)</f>
        <v>226</v>
      </c>
      <c r="B40" s="51">
        <f>IFERROR(__xludf.DUMMYFUNCTION("""COMPUTED_VALUE"""),44953.0)</f>
        <v>44953</v>
      </c>
      <c r="C40" s="27" t="str">
        <f>IFERROR(__xludf.DUMMYFUNCTION("""COMPUTED_VALUE"""),"Custom: Puppy Love")</f>
        <v>Custom: Puppy Love</v>
      </c>
      <c r="D40" s="27" t="str">
        <f>IFERROR(__xludf.DUMMYFUNCTION("""COMPUTED_VALUE"""),"I roleplay as your wife and encourage you to take part in some sick and twisted beast fucking.")</f>
        <v>I roleplay as your wife and encourage you to take part in some sick and twisted beast fucking.</v>
      </c>
      <c r="E40" s="27" t="str">
        <f>IFERROR(__xludf.DUMMYFUNCTION("""COMPUTED_VALUE"""),"pervy gfe, beast, doggy style, two orgasms, poppers, throat fucking, snuff")</f>
        <v>pervy gfe, beast, doggy style, two orgasms, poppers, throat fucking, snuff</v>
      </c>
    </row>
    <row r="41">
      <c r="A41" s="52">
        <f>IFERROR(__xludf.DUMMYFUNCTION("""COMPUTED_VALUE"""),227.0)</f>
        <v>227</v>
      </c>
      <c r="B41" s="51">
        <f>IFERROR(__xludf.DUMMYFUNCTION("""COMPUTED_VALUE"""),44956.0)</f>
        <v>44956</v>
      </c>
      <c r="C41" s="27" t="str">
        <f>IFERROR(__xludf.DUMMYFUNCTION("""COMPUTED_VALUE"""),"Custom: Caring Companion Rehab Program")</f>
        <v>Custom: Caring Companion Rehab Program</v>
      </c>
      <c r="D41" s="27" t="str">
        <f>IFERROR(__xludf.DUMMYFUNCTION("""COMPUTED_VALUE"""),"I am the head sex therapist at a rehabiliation program for serial offenders. I equip men with a fuck toy companion, teaching them strategies for controling their brutal urges. I introduce a new patient into the program. ")</f>
        <v>I am the head sex therapist at a rehabiliation program for serial offenders. I equip men with a fuck toy companion, teaching them strategies for controling their brutal urges. I introduce a new patient into the program. </v>
      </c>
      <c r="E41" s="27" t="str">
        <f>IFERROR(__xludf.DUMMYFUNCTION("""COMPUTED_VALUE"""),"doctor/patient, noncon, free use slut, red head, deep throat, extreme use, unconscious, snuff, pervert encouragement")</f>
        <v>doctor/patient, noncon, free use slut, red head, deep throat, extreme use, unconscious, snuff, pervert encouragement</v>
      </c>
    </row>
    <row r="42">
      <c r="A42" s="52">
        <f>IFERROR(__xludf.DUMMYFUNCTION("""COMPUTED_VALUE"""),235.0)</f>
        <v>235</v>
      </c>
      <c r="B42" s="51">
        <f>IFERROR(__xludf.DUMMYFUNCTION("""COMPUTED_VALUE"""),44965.0)</f>
        <v>44965</v>
      </c>
      <c r="C42" s="27" t="str">
        <f>IFERROR(__xludf.DUMMYFUNCTION("""COMPUTED_VALUE"""),"Silent Call: Caring Companion Visit")</f>
        <v>Silent Call: Caring Companion Visit</v>
      </c>
      <c r="D42" s="27" t="str">
        <f>IFERROR(__xludf.DUMMYFUNCTION("""COMPUTED_VALUE"""),"The listener visits the Caring Companion rehab program where I am sex therapist. I berate my client at first for his brutal victims in the past, but then introduce him to his assigned fuck toy, encouraging him to show me his true colors. ")</f>
        <v>The listener visits the Caring Companion rehab program where I am sex therapist. I berate my client at first for his brutal victims in the past, but then introduce him to his assigned fuck toy, encouraging him to show me his true colors. </v>
      </c>
      <c r="E42" s="27" t="str">
        <f>IFERROR(__xludf.DUMMYFUNCTION("""COMPUTED_VALUE"""),"humiliation, throat use, noncon, choking, snuff, necro")</f>
        <v>humiliation, throat use, noncon, choking, snuff, necro</v>
      </c>
    </row>
    <row r="43">
      <c r="A43" s="52">
        <f>IFERROR(__xludf.DUMMYFUNCTION("""COMPUTED_VALUE"""),250.0)</f>
        <v>250</v>
      </c>
      <c r="B43" s="51">
        <f>IFERROR(__xludf.DUMMYFUNCTION("""COMPUTED_VALUE"""),44986.0)</f>
        <v>44986</v>
      </c>
      <c r="C43" s="27" t="str">
        <f>IFERROR(__xludf.DUMMYFUNCTION("""COMPUTED_VALUE"""),"Custom Mom Snuff Accomplice")</f>
        <v>Custom Mom Snuff Accomplice</v>
      </c>
      <c r="D43" s="27" t="str">
        <f>IFERROR(__xludf.DUMMYFUNCTION("""COMPUTED_VALUE"""),"A mother finds an intruder in her house in the midst of extreme use of her daughters and can’t help but get turned on and help…and then beg for her own snuff ending.")</f>
        <v>A mother finds an intruder in her house in the midst of extreme use of her daughters and can’t help but get turned on and help…and then beg for her own snuff ending.</v>
      </c>
      <c r="E43" s="27" t="str">
        <f>IFERROR(__xludf.DUMMYFUNCTION("""COMPUTED_VALUE"""),"accomplice, bad mom, female masturbation, choking, snuff heavy, noncon, begging, female moans, bone breaking sfx, choking sfx, snuff")</f>
        <v>accomplice, bad mom, female masturbation, choking, snuff heavy, noncon, begging, female moans, bone breaking sfx, choking sfx, snuff</v>
      </c>
    </row>
    <row r="44">
      <c r="A44" s="52">
        <f>IFERROR(__xludf.DUMMYFUNCTION("""COMPUTED_VALUE"""),251.0)</f>
        <v>251</v>
      </c>
      <c r="B44" s="51">
        <f>IFERROR(__xludf.DUMMYFUNCTION("""COMPUTED_VALUE"""),44987.0)</f>
        <v>44987</v>
      </c>
      <c r="C44" s="27" t="str">
        <f>IFERROR(__xludf.DUMMYFUNCTION("""COMPUTED_VALUE"""),"Silent Call- GF Visits Center for Sexual Deviants")</f>
        <v>Silent Call- GF Visits Center for Sexual Deviants</v>
      </c>
      <c r="D44" s="27" t="str">
        <f>IFERROR(__xludf.DUMMYFUNCTION("""COMPUTED_VALUE"""),"Dr. Beatrix sits down with the listeners girlfriend explaining why you have spent time in her Center for Sexual Deviants and how to rehabilitate you into society. ")</f>
        <v>Dr. Beatrix sits down with the listeners girlfriend explaining why you have spent time in her Center for Sexual Deviants and how to rehabilitate you into society. </v>
      </c>
      <c r="E44" s="27" t="str">
        <f>IFERROR(__xludf.DUMMYFUNCTION("""COMPUTED_VALUE"""),"third person listener experience, sexual deviant, addiction, goon encouragement, snuff, noncon, no anal, extreme throat use, pervert encouragement")</f>
        <v>third person listener experience, sexual deviant, addiction, goon encouragement, snuff, noncon, no anal, extreme throat use, pervert encouragement</v>
      </c>
    </row>
    <row r="45">
      <c r="A45" s="52">
        <f>IFERROR(__xludf.DUMMYFUNCTION("""COMPUTED_VALUE"""),268.0)</f>
        <v>268</v>
      </c>
      <c r="B45" s="51">
        <f>IFERROR(__xludf.DUMMYFUNCTION("""COMPUTED_VALUE"""),45008.0)</f>
        <v>45008</v>
      </c>
      <c r="C45" s="27" t="str">
        <f>IFERROR(__xludf.DUMMYFUNCTION("""COMPUTED_VALUE"""),"Commercials of Perversions")</f>
        <v>Commercials of Perversions</v>
      </c>
      <c r="D45" s="27" t="str">
        <f>IFERROR(__xludf.DUMMYFUNCTION("""COMPUTED_VALUE""")," Maisie Moon is back with more commercials of extreme perversions. ")</f>
        <v> Maisie Moon is back with more commercials of extreme perversions. </v>
      </c>
      <c r="E45" s="27" t="str">
        <f>IFERROR(__xludf.DUMMYFUNCTION("""COMPUTED_VALUE"""),"sex toys, deep throat, intoxication, DDlg, incest, bdsm, plastic surgery, chastity, beast, snuff, necro, misogyny")</f>
        <v>sex toys, deep throat, intoxication, DDlg, incest, bdsm, plastic surgery, chastity, beast, snuff, necro, misogyny</v>
      </c>
    </row>
    <row r="46">
      <c r="A46" s="52">
        <f>IFERROR(__xludf.DUMMYFUNCTION("""COMPUTED_VALUE"""),277.0)</f>
        <v>277</v>
      </c>
      <c r="B46" s="51">
        <f>IFERROR(__xludf.DUMMYFUNCTION("""COMPUTED_VALUE"""),45019.0)</f>
        <v>45019</v>
      </c>
      <c r="C46" s="27" t="str">
        <f>IFERROR(__xludf.DUMMYFUNCTION("""COMPUTED_VALUE"""),"Custom: Evil Homewrecking Encouragement")</f>
        <v>Custom: Evil Homewrecking Encouragement</v>
      </c>
      <c r="D46" s="27" t="str">
        <f>IFERROR(__xludf.DUMMYFUNCTION("""COMPUTED_VALUE"""),"I am a voice that encourages you to keep sneaking around your wife’s back to feed into your porn addiction, but then challenge you to have us turn this into reality.")</f>
        <v>I am a voice that encourages you to keep sneaking around your wife’s back to feed into your porn addiction, but then challenge you to have us turn this into reality.</v>
      </c>
      <c r="E46" s="27" t="str">
        <f>IFERROR(__xludf.DUMMYFUNCTION("""COMPUTED_VALUE"""),"Extreme homewrecking, married man, wife degradation, cuckquean, porn addiction, gooning, Watersport mention, female moaning, affirmations, snuff mention")</f>
        <v>Extreme homewrecking, married man, wife degradation, cuckquean, porn addiction, gooning, Watersport mention, female moaning, affirmations, snuff mention</v>
      </c>
    </row>
    <row r="47">
      <c r="A47" s="52">
        <f>IFERROR(__xludf.DUMMYFUNCTION("""COMPUTED_VALUE"""),289.0)</f>
        <v>289</v>
      </c>
      <c r="B47" s="51">
        <f>IFERROR(__xludf.DUMMYFUNCTION("""COMPUTED_VALUE"""),45032.0)</f>
        <v>45032</v>
      </c>
      <c r="C47" s="27" t="str">
        <f>IFERROR(__xludf.DUMMYFUNCTION("""COMPUTED_VALUE"""),"Silent Call: Silent Call: Twisted Caring Accomplice GF")</f>
        <v>Silent Call: Silent Call: Twisted Caring Accomplice GF</v>
      </c>
      <c r="D47" s="27" t="str">
        <f>IFERROR(__xludf.DUMMYFUNCTION("""COMPUTED_VALUE"""),"You revealed your secret fetish to me already so I decide to be a good girlfriend and gift you a cutie. ")</f>
        <v>You revealed your secret fetish to me already so I decide to be a good girlfriend and gift you a cutie. </v>
      </c>
      <c r="E47" s="27" t="str">
        <f>IFERROR(__xludf.DUMMYFUNCTION("""COMPUTED_VALUE"""),"pervy gfe, accomplice, forced intoxication, unconscious, but wakes up, snuff, necr0")</f>
        <v>pervy gfe, accomplice, forced intoxication, unconscious, but wakes up, snuff, necr0</v>
      </c>
    </row>
    <row r="48">
      <c r="A48" s="52">
        <f>IFERROR(__xludf.DUMMYFUNCTION("""COMPUTED_VALUE"""),305.0)</f>
        <v>305</v>
      </c>
      <c r="B48" s="51">
        <f>IFERROR(__xludf.DUMMYFUNCTION("""COMPUTED_VALUE"""),45053.0)</f>
        <v>45053</v>
      </c>
      <c r="C48" s="27" t="str">
        <f>IFERROR(__xludf.DUMMYFUNCTION("""COMPUTED_VALUE"""),"Custom: Daddy's Video Collection")</f>
        <v>Custom: Daddy's Video Collection</v>
      </c>
      <c r="D48" s="27" t="str">
        <f>IFERROR(__xludf.DUMMYFUNCTION("""COMPUTED_VALUE"""),"I found my dad’s secret video collection stuffed under his bed and end up enjoying his secret porn life. Daddy catches me and decides to bring me into the action. ")</f>
        <v>I found my dad’s secret video collection stuffed under his bed and end up enjoying his secret porn life. Daddy catches me and decides to bring me into the action. </v>
      </c>
      <c r="E48" s="27" t="str">
        <f>IFERROR(__xludf.DUMMYFUNCTION("""COMPUTED_VALUE"""),"snuff, female masturbation, moaning, noncon, rope/bondage, snuff creampie")</f>
        <v>snuff, female masturbation, moaning, noncon, rope/bondage, snuff creampie</v>
      </c>
    </row>
    <row r="49">
      <c r="A49" s="52">
        <f>IFERROR(__xludf.DUMMYFUNCTION("""COMPUTED_VALUE"""),308.0)</f>
        <v>308</v>
      </c>
      <c r="B49" s="51">
        <f>IFERROR(__xludf.DUMMYFUNCTION("""COMPUTED_VALUE"""),45061.0)</f>
        <v>45061</v>
      </c>
      <c r="C49" s="27" t="str">
        <f>IFERROR(__xludf.DUMMYFUNCTION("""COMPUTED_VALUE"""),"Custom: A Porn Mom’s Interview")</f>
        <v>Custom: A Porn Mom’s Interview</v>
      </c>
      <c r="D49" s="27" t="str">
        <f>IFERROR(__xludf.DUMMYFUNCTION("""COMPUTED_VALUE"""),"I role-play as a mother who got her daughter into porn and what lead us to the final, pinnacle porn scene of her life.  ")</f>
        <v>I role-play as a mother who got her daughter into porn and what lead us to the final, pinnacle porn scene of her life.  </v>
      </c>
      <c r="E49" s="27" t="str">
        <f>IFERROR(__xludf.DUMMYFUNCTION("""COMPUTED_VALUE"""),"photo shoots, slut training, bbc gangbang, bukkake, beast, cnc, bondage, snuff, extreme use, viagra, monster cocks, pervert encouragement")</f>
        <v>photo shoots, slut training, bbc gangbang, bukkake, beast, cnc, bondage, snuff, extreme use, viagra, monster cocks, pervert encouragement</v>
      </c>
    </row>
    <row r="50">
      <c r="A50" s="52">
        <f>IFERROR(__xludf.DUMMYFUNCTION("""COMPUTED_VALUE"""),348.0)</f>
        <v>348</v>
      </c>
      <c r="B50" s="51">
        <f>IFERROR(__xludf.DUMMYFUNCTION("""COMPUTED_VALUE"""),45110.0)</f>
        <v>45110</v>
      </c>
      <c r="C50" s="27" t="str">
        <f>IFERROR(__xludf.DUMMYFUNCTION("""COMPUTED_VALUE"""),"Custom Improv: Misogynistic Podcast Episode")</f>
        <v>Custom Improv: Misogynistic Podcast Episode</v>
      </c>
      <c r="D50" s="27" t="str">
        <f>IFERROR(__xludf.DUMMYFUNCTION("""COMPUTED_VALUE""")," A woman holds a podcast that typically gives advice to men how to respect women until she is given a listener submitted question that is asking how to successfully disrespect women and use them. ")</f>
        <v> A woman holds a podcast that typically gives advice to men how to respect women until she is given a listener submitted question that is asking how to successfully disrespect women and use them. </v>
      </c>
      <c r="E50" s="27" t="str">
        <f>IFERROR(__xludf.DUMMYFUNCTION("""COMPUTED_VALUE"""),"no ap, misogyny, noncon, forced intoxication, all three holes, brief snuff mention, bondage, choking, gangbang")</f>
        <v>no ap, misogyny, noncon, forced intoxication, all three holes, brief snuff mention, bondage, choking, gangbang</v>
      </c>
    </row>
    <row r="51">
      <c r="A51" s="52">
        <f>IFERROR(__xludf.DUMMYFUNCTION("""COMPUTED_VALUE"""),355.0)</f>
        <v>355</v>
      </c>
      <c r="B51" s="51">
        <f>IFERROR(__xludf.DUMMYFUNCTION("""COMPUTED_VALUE"""),45124.0)</f>
        <v>45124</v>
      </c>
      <c r="C51" s="27" t="str">
        <f>IFERROR(__xludf.DUMMYFUNCTION("""COMPUTED_VALUE"""),"Custom: Satanic Ritual &amp; Your Mother")</f>
        <v>Custom: Satanic Ritual &amp; Your Mother</v>
      </c>
      <c r="D51" s="27" t="str">
        <f>IFERROR(__xludf.DUMMYFUNCTION("""COMPUTED_VALUE"""),"A mother is one of the leaders of a Satanic cult and the group initiates her son after years of training. ")</f>
        <v>A mother is one of the leaders of a Satanic cult and the group initiates her son after years of training. </v>
      </c>
      <c r="E51" s="27" t="str">
        <f>IFERROR(__xludf.DUMMYFUNCTION("""COMPUTED_VALUE""")," mom/son, satanic religion, extreme, binaural, extreme age, snuff")</f>
        <v> mom/son, satanic religion, extreme, binaural, extreme age, snuff</v>
      </c>
    </row>
    <row r="52">
      <c r="A52" s="52">
        <f>IFERROR(__xludf.DUMMYFUNCTION("""COMPUTED_VALUE"""),366.0)</f>
        <v>366</v>
      </c>
      <c r="B52" s="51">
        <f>IFERROR(__xludf.DUMMYFUNCTION("""COMPUTED_VALUE"""),45136.0)</f>
        <v>45136</v>
      </c>
      <c r="C52" s="27" t="str">
        <f>IFERROR(__xludf.DUMMYFUNCTION("""COMPUTED_VALUE"""),"Helping Your Futa Babysitter")</f>
        <v>Helping Your Futa Babysitter</v>
      </c>
      <c r="D52" s="27" t="str">
        <f>IFERROR(__xludf.DUMMYFUNCTION("""COMPUTED_VALUE"""),"You have a futa babysitter babysitting you and your little sister. You get jealous of the attention your sister gets and your babysitter helps get revenge. ")</f>
        <v>You have a futa babysitter babysitting you and your little sister. You get jealous of the attention your sister gets and your babysitter helps get revenge. </v>
      </c>
      <c r="E52" s="27" t="str">
        <f>IFERROR(__xludf.DUMMYFUNCTION("""COMPUTED_VALUE"""),"futa, extreme age, face fucking, anal, snuff, watersports")</f>
        <v>futa, extreme age, face fucking, anal, snuff, watersports</v>
      </c>
    </row>
    <row r="53">
      <c r="A53" s="52">
        <f>IFERROR(__xludf.DUMMYFUNCTION("""COMPUTED_VALUE"""),373.0)</f>
        <v>373</v>
      </c>
      <c r="B53" s="51">
        <f>IFERROR(__xludf.DUMMYFUNCTION("""COMPUTED_VALUE"""),45153.0)</f>
        <v>45153</v>
      </c>
      <c r="C53" s="27" t="str">
        <f>IFERROR(__xludf.DUMMYFUNCTION("""COMPUTED_VALUE"""),"Custom: Twin Guillotine")</f>
        <v>Custom: Twin Guillotine</v>
      </c>
      <c r="D53" s="27" t="str">
        <f>IFERROR(__xludf.DUMMYFUNCTION("""COMPUTED_VALUE"""),"I’m the director of a super extreme production that involves two guillotines and two cutie sluts.")</f>
        <v>I’m the director of a super extreme production that involves two guillotines and two cutie sluts.</v>
      </c>
      <c r="E53" s="27" t="str">
        <f>IFERROR(__xludf.DUMMYFUNCTION("""COMPUTED_VALUE"""),"snuff, guillotine, porn, extreme, brief gore")</f>
        <v>snuff, guillotine, porn, extreme, brief gore</v>
      </c>
    </row>
    <row r="54">
      <c r="A54" s="52">
        <f>IFERROR(__xludf.DUMMYFUNCTION("""COMPUTED_VALUE"""),376.0)</f>
        <v>376</v>
      </c>
      <c r="B54" s="51">
        <f>IFERROR(__xludf.DUMMYFUNCTION("""COMPUTED_VALUE"""),45153.0)</f>
        <v>45153</v>
      </c>
      <c r="C54" s="27" t="str">
        <f>IFERROR(__xludf.DUMMYFUNCTION("""COMPUTED_VALUE"""),"Script Fill: Maisie Moon Goes to Confession")</f>
        <v>Script Fill: Maisie Moon Goes to Confession</v>
      </c>
      <c r="D54" s="27" t="str">
        <f>IFERROR(__xludf.DUMMYFUNCTION("""COMPUTED_VALUE"""),"I go into a confessional booth and confess the sins of me and my husband.")</f>
        <v>I go into a confessional booth and confess the sins of me and my husband.</v>
      </c>
      <c r="E54" s="27" t="str">
        <f>IFERROR(__xludf.DUMMYFUNCTION("""COMPUTED_VALUE"""),"snuff, confessional, extreme, necro")</f>
        <v>snuff, confessional, extreme, necro</v>
      </c>
    </row>
    <row r="55">
      <c r="A55" s="52">
        <f>IFERROR(__xludf.DUMMYFUNCTION("""COMPUTED_VALUE"""),416.0)</f>
        <v>416</v>
      </c>
      <c r="B55" s="51">
        <f>IFERROR(__xludf.DUMMYFUNCTION("""COMPUTED_VALUE"""),45204.0)</f>
        <v>45204</v>
      </c>
      <c r="C55" s="27" t="str">
        <f>IFERROR(__xludf.DUMMYFUNCTION("""COMPUTED_VALUE"""),"Custom: Double Zip Tie")</f>
        <v>Custom: Double Zip Tie</v>
      </c>
      <c r="D55" s="27" t="str">
        <f>IFERROR(__xludf.DUMMYFUNCTION("""COMPUTED_VALUE"""),"The listener’s girlfriend watches from the closet while her boyfriend does unspeakable things. It turns her on and she requests the same treatment afterwards.")</f>
        <v>The listener’s girlfriend watches from the closet while her boyfriend does unspeakable things. It turns her on and she requests the same treatment afterwards.</v>
      </c>
      <c r="E55" s="27" t="str">
        <f>IFERROR(__xludf.DUMMYFUNCTION("""COMPUTED_VALUE"""),"snuff, noncon, choking sfx, extreme, begging")</f>
        <v>snuff, noncon, choking sfx, extreme, begging</v>
      </c>
    </row>
    <row r="56">
      <c r="A56" s="52">
        <f>IFERROR(__xludf.DUMMYFUNCTION("""COMPUTED_VALUE"""),427.0)</f>
        <v>427</v>
      </c>
      <c r="B56" s="51">
        <f>IFERROR(__xludf.DUMMYFUNCTION("""COMPUTED_VALUE"""),45220.0)</f>
        <v>45220</v>
      </c>
      <c r="C56" s="27" t="str">
        <f>IFERROR(__xludf.DUMMYFUNCTION("""COMPUTED_VALUE"""),"Silent Call: Parking Lot Accomplice")</f>
        <v>Silent Call: Parking Lot Accomplice</v>
      </c>
      <c r="D56" s="27" t="str">
        <f>IFERROR(__xludf.DUMMYFUNCTION("""COMPUTED_VALUE"""),"We show up to a parking lot so I can spew all kinds of perverted fantasies with what we see walking by.")</f>
        <v>We show up to a parking lot so I can spew all kinds of perverted fantasies with what we see walking by.</v>
      </c>
      <c r="E56" s="27" t="str">
        <f>IFERROR(__xludf.DUMMYFUNCTION("""COMPUTED_VALUE"""),"accomplice, snuff, necr0, noncon")</f>
        <v>accomplice, snuff, necr0, noncon</v>
      </c>
    </row>
    <row r="57">
      <c r="A57" s="52">
        <f>IFERROR(__xludf.DUMMYFUNCTION("""COMPUTED_VALUE"""),428.0)</f>
        <v>428</v>
      </c>
      <c r="B57" s="51">
        <f>IFERROR(__xludf.DUMMYFUNCTION("""COMPUTED_VALUE"""),45220.0)</f>
        <v>45220</v>
      </c>
      <c r="C57" s="27" t="str">
        <f>IFERROR(__xludf.DUMMYFUNCTION("""COMPUTED_VALUE"""),"Custom: Debt Collector")</f>
        <v>Custom: Debt Collector</v>
      </c>
      <c r="D57" s="27" t="str">
        <f>IFERROR(__xludf.DUMMYFUNCTION("""COMPUTED_VALUE"""),"A widowed mother owes me money and show up at her door and take what I want as a punishment.")</f>
        <v>A widowed mother owes me money and show up at her door and take what I want as a punishment.</v>
      </c>
      <c r="E57" s="27" t="str">
        <f>IFERROR(__xludf.DUMMYFUNCTION("""COMPUTED_VALUE"""),"forced incest, violence, noncon, futa, snuff")</f>
        <v>forced incest, violence, noncon, futa, snuff</v>
      </c>
    </row>
    <row r="58">
      <c r="A58" s="52">
        <f>IFERROR(__xludf.DUMMYFUNCTION("""COMPUTED_VALUE"""),450.0)</f>
        <v>450</v>
      </c>
      <c r="B58" s="51">
        <f>IFERROR(__xludf.DUMMYFUNCTION("""COMPUTED_VALUE"""),45239.0)</f>
        <v>45239</v>
      </c>
      <c r="C58" s="27" t="str">
        <f>IFERROR(__xludf.DUMMYFUNCTION("""COMPUTED_VALUE"""),"Brutal Revenge")</f>
        <v>Brutal Revenge</v>
      </c>
      <c r="D58" s="27" t="str">
        <f>IFERROR(__xludf.DUMMYFUNCTION("""COMPUTED_VALUE"""),"I am a witch and scour thousands of men to find one I can use for serving up revenge. The listener is transformed into a beast of man to help me torture a mother and daughter.")</f>
        <v>I am a witch and scour thousands of men to find one I can use for serving up revenge. The listener is transformed into a beast of man to help me torture a mother and daughter.</v>
      </c>
      <c r="E58" s="27" t="str">
        <f>IFERROR(__xludf.DUMMYFUNCTION("""COMPUTED_VALUE"""),"witchcraft, hypnosis, transformation, binaural, torture, sadism, beast, forced STD sex, snuff, extreme")</f>
        <v>witchcraft, hypnosis, transformation, binaural, torture, sadism, beast, forced STD sex, snuff, extreme</v>
      </c>
    </row>
    <row r="59">
      <c r="A59" s="52">
        <f>IFERROR(__xludf.DUMMYFUNCTION("""COMPUTED_VALUE"""),469.0)</f>
        <v>469</v>
      </c>
      <c r="B59" s="51">
        <f>IFERROR(__xludf.DUMMYFUNCTION("""COMPUTED_VALUE"""),45253.0)</f>
        <v>45253</v>
      </c>
      <c r="C59" s="27" t="str">
        <f>IFERROR(__xludf.DUMMYFUNCTION("""COMPUTED_VALUE"""),"Improv: Meta Pervert Humiliation")</f>
        <v>Improv: Meta Pervert Humiliation</v>
      </c>
      <c r="D59" s="27" t="str">
        <f>IFERROR(__xludf.DUMMYFUNCTION("""COMPUTED_VALUE"""),"I’m your girlfriend and find out you’ve been paying some lady named Maisie Moon to feed you sick fantasies and humiliate you. ")</f>
        <v>I’m your girlfriend and find out you’ve been paying some lady named Maisie Moon to feed you sick fantasies and humiliate you. </v>
      </c>
      <c r="E59" s="27" t="str">
        <f>IFERROR(__xludf.DUMMYFUNCTION("""COMPUTED_VALUE"""),"humiliation, noncon, snuff, necro")</f>
        <v>humiliation, noncon, snuff, necro</v>
      </c>
    </row>
    <row r="60">
      <c r="A60" s="52">
        <f>IFERROR(__xludf.DUMMYFUNCTION("""COMPUTED_VALUE"""),475.0)</f>
        <v>475</v>
      </c>
      <c r="B60" s="51">
        <f>IFERROR(__xludf.DUMMYFUNCTION("""COMPUTED_VALUE"""),45633.0)</f>
        <v>45633</v>
      </c>
      <c r="C60" s="27" t="str">
        <f>IFERROR(__xludf.DUMMYFUNCTION("""COMPUTED_VALUE""")," Improv: A Mother’s Deep Love")</f>
        <v> Improv: A Mother’s Deep Love</v>
      </c>
      <c r="D60" s="27" t="str">
        <f>IFERROR(__xludf.DUMMYFUNCTION("""COMPUTED_VALUE"""),"A new mother is completely and totally obsessed with her new daughter to extreme levels.")</f>
        <v>A new mother is completely and totally obsessed with her new daughter to extreme levels.</v>
      </c>
      <c r="E60" s="27" t="str">
        <f>IFERROR(__xludf.DUMMYFUNCTION("""COMPUTED_VALUE"""),"pregnancy, extreme ap, snuff, necro, lactation, female perv")</f>
        <v>pregnancy, extreme ap, snuff, necro, lactation, female perv</v>
      </c>
    </row>
    <row r="61">
      <c r="A61" s="52">
        <f>IFERROR(__xludf.DUMMYFUNCTION("""COMPUTED_VALUE"""),476.0)</f>
        <v>476</v>
      </c>
      <c r="B61" s="51">
        <f>IFERROR(__xludf.DUMMYFUNCTION("""COMPUTED_VALUE"""),45637.0)</f>
        <v>45637</v>
      </c>
      <c r="C61" s="27" t="str">
        <f>IFERROR(__xludf.DUMMYFUNCTION("""COMPUTED_VALUE"""),"Improv: Stockholm Mindfuck")</f>
        <v>Improv: Stockholm Mindfuck</v>
      </c>
      <c r="D61" s="27" t="str">
        <f>IFERROR(__xludf.DUMMYFUNCTION("""COMPUTED_VALUE"""),"I am a girl who has been enslaved for years, but I love my owners! So much so that I give them the greatest gift. ")</f>
        <v>I am a girl who has been enslaved for years, but I love my owners! So much so that I give them the greatest gift. </v>
      </c>
      <c r="E61" s="27" t="str">
        <f>IFERROR(__xludf.DUMMYFUNCTION("""COMPUTED_VALUE"""),"slave, gore, snuff, masochist pain slut")</f>
        <v>slave, gore, snuff, masochist pain slut</v>
      </c>
    </row>
    <row r="62">
      <c r="A62" s="52">
        <f>IFERROR(__xludf.DUMMYFUNCTION("""COMPUTED_VALUE"""),480.0)</f>
        <v>480</v>
      </c>
      <c r="B62" s="51">
        <f>IFERROR(__xludf.DUMMYFUNCTION("""COMPUTED_VALUE"""),45644.0)</f>
        <v>45644</v>
      </c>
      <c r="C62" s="27" t="str">
        <f>IFERROR(__xludf.DUMMYFUNCTION("""COMPUTED_VALUE""")," Improv: A Nun’s Pervert Encouragement")</f>
        <v> Improv: A Nun’s Pervert Encouragement</v>
      </c>
      <c r="D62" s="27" t="str">
        <f>IFERROR(__xludf.DUMMYFUNCTION("""COMPUTED_VALUE"""),"The listener comes to me with an issue, but I end up encouraging his dark desires. ")</f>
        <v>The listener comes to me with an issue, but I end up encouraging his dark desires. </v>
      </c>
      <c r="E62" s="27" t="str">
        <f>IFERROR(__xludf.DUMMYFUNCTION("""COMPUTED_VALUE"""),"pervert encouragement, blasphemy, noncon, snuff")</f>
        <v>pervert encouragement, blasphemy, noncon, snuff</v>
      </c>
    </row>
    <row r="63">
      <c r="A63" s="52">
        <f>IFERROR(__xludf.DUMMYFUNCTION("""COMPUTED_VALUE"""),482.0)</f>
        <v>482</v>
      </c>
      <c r="B63" s="51">
        <f>IFERROR(__xludf.DUMMYFUNCTION("""COMPUTED_VALUE"""),45646.0)</f>
        <v>45646</v>
      </c>
      <c r="C63" s="27" t="str">
        <f>IFERROR(__xludf.DUMMYFUNCTION("""COMPUTED_VALUE"""),"Custom: Extreme Homewrecking Mistress")</f>
        <v>Custom: Extreme Homewrecking Mistress</v>
      </c>
      <c r="D63" s="27" t="str">
        <f>IFERROR(__xludf.DUMMYFUNCTION("""COMPUTED_VALUE"""),"I set up a day of extreme gooning session along with prostitutes in your home and wait for your wife to come home for even more depravity. ")</f>
        <v>I set up a day of extreme gooning session along with prostitutes in your home and wait for your wife to come home for even more depravity. </v>
      </c>
      <c r="E63" s="27" t="str">
        <f>IFERROR(__xludf.DUMMYFUNCTION("""COMPUTED_VALUE"""),"extreme homewrecking, goon/porn encouragement, snuff, necro
")</f>
        <v>extreme homewrecking, goon/porn encouragement, snuff, necro
</v>
      </c>
    </row>
    <row r="64">
      <c r="A64" s="52">
        <f>IFERROR(__xludf.DUMMYFUNCTION("""COMPUTED_VALUE"""),488.0)</f>
        <v>488</v>
      </c>
      <c r="B64" s="51">
        <f>IFERROR(__xludf.DUMMYFUNCTION("""COMPUTED_VALUE"""),45650.0)</f>
        <v>45650</v>
      </c>
      <c r="C64" s="27" t="str">
        <f>IFERROR(__xludf.DUMMYFUNCTION("""COMPUTED_VALUE"""),"Improv: Perv Queen Succubus")</f>
        <v>Improv: Perv Queen Succubus</v>
      </c>
      <c r="D64" s="27" t="str">
        <f>IFERROR(__xludf.DUMMYFUNCTION("""COMPUTED_VALUE"""),"I come into your room one night and seduce you into a lifetime of depravity enslaved to me.")</f>
        <v>I come into your room one night and seduce you into a lifetime of depravity enslaved to me.</v>
      </c>
      <c r="E64" s="27" t="str">
        <f>IFERROR(__xludf.DUMMYFUNCTION("""COMPUTED_VALUE"""),"ASMR, pervert encouragement, snuff, noncon")</f>
        <v>ASMR, pervert encouragement, snuff, noncon</v>
      </c>
    </row>
    <row r="65">
      <c r="A65" s="52">
        <f>IFERROR(__xludf.DUMMYFUNCTION("""COMPUTED_VALUE"""),502.0)</f>
        <v>502</v>
      </c>
      <c r="B65" s="51">
        <f>IFERROR(__xludf.DUMMYFUNCTION("""COMPUTED_VALUE"""),45298.0)</f>
        <v>45298</v>
      </c>
      <c r="C65" s="27" t="str">
        <f>IFERROR(__xludf.DUMMYFUNCTION("""COMPUTED_VALUE"""),"Custom: Extreme Wife Accomplice w/Beast")</f>
        <v>Custom: Extreme Wife Accomplice w/Beast</v>
      </c>
      <c r="D65" s="27" t="str">
        <f>IFERROR(__xludf.DUMMYFUNCTION("""COMPUTED_VALUE"""),"Extreme beast role-play where I role-play as your wife that helps satisfy one of your super depraved fantasies. ")</f>
        <v>Extreme beast role-play where I role-play as your wife that helps satisfy one of your super depraved fantasies. </v>
      </c>
      <c r="E65" s="27" t="str">
        <f>IFERROR(__xludf.DUMMYFUNCTION("""COMPUTED_VALUE"""),"EXTREME, beast, snuff, necro, accomplice, brief scat mention")</f>
        <v>EXTREME, beast, snuff, necro, accomplice, brief scat mention</v>
      </c>
    </row>
    <row r="66">
      <c r="A66" s="52">
        <f>IFERROR(__xludf.DUMMYFUNCTION("""COMPUTED_VALUE"""),503.0)</f>
        <v>503</v>
      </c>
      <c r="B66" s="51">
        <f>IFERROR(__xludf.DUMMYFUNCTION("""COMPUTED_VALUE"""),45299.0)</f>
        <v>45299</v>
      </c>
      <c r="C66" s="27" t="str">
        <f>IFERROR(__xludf.DUMMYFUNCTION("""COMPUTED_VALUE"""),"Improv: Deeper Goon Hole")</f>
        <v>Improv: Deeper Goon Hole</v>
      </c>
      <c r="D66" s="27" t="str">
        <f>IFERROR(__xludf.DUMMYFUNCTION("""COMPUTED_VALUE"""),"ASMR, binaural trigger heavy file. ")</f>
        <v>ASMR, binaural trigger heavy file. </v>
      </c>
      <c r="E66" s="27" t="str">
        <f>IFERROR(__xludf.DUMMYFUNCTION("""COMPUTED_VALUE""")," noncon, pervert encouragement, snuff, 3dio, binaural mic, ASMR")</f>
        <v> noncon, pervert encouragement, snuff, 3dio, binaural mic, ASMR</v>
      </c>
    </row>
    <row r="67">
      <c r="A67" s="52">
        <f>IFERROR(__xludf.DUMMYFUNCTION("""COMPUTED_VALUE"""),525.0)</f>
        <v>525</v>
      </c>
      <c r="B67" s="51">
        <f>IFERROR(__xludf.DUMMYFUNCTION("""COMPUTED_VALUE"""),45330.0)</f>
        <v>45330</v>
      </c>
      <c r="C67" s="27" t="str">
        <f>IFERROR(__xludf.DUMMYFUNCTION("""COMPUTED_VALUE"""),"Script Fill: If Miss Bea Was President")</f>
        <v>Script Fill: If Miss Bea Was President</v>
      </c>
      <c r="D67" s="27" t="str">
        <f>IFERROR(__xludf.DUMMYFUNCTION("""COMPUTED_VALUE"""),"Miss Bea gives her first presidential speech after being elected, introducing a new world of depravity and sexual revolution. ")</f>
        <v>Miss Bea gives her first presidential speech after being elected, introducing a new world of depravity and sexual revolution. </v>
      </c>
      <c r="E67" s="27" t="str">
        <f>IFERROR(__xludf.DUMMYFUNCTION("""COMPUTED_VALUE"""),"incest, snuff, brothel, noncon")</f>
        <v>incest, snuff, brothel, noncon</v>
      </c>
    </row>
    <row r="68">
      <c r="A68" s="52">
        <f>IFERROR(__xludf.DUMMYFUNCTION("""COMPUTED_VALUE"""),528.0)</f>
        <v>528</v>
      </c>
      <c r="B68" s="51">
        <f>IFERROR(__xludf.DUMMYFUNCTION("""COMPUTED_VALUE"""),45332.0)</f>
        <v>45332</v>
      </c>
      <c r="C68" s="27" t="str">
        <f>IFERROR(__xludf.DUMMYFUNCTION("""COMPUTED_VALUE"""),"Improv: Toybox Inspiration")</f>
        <v>Improv: Toybox Inspiration</v>
      </c>
      <c r="D68" s="27" t="str">
        <f>IFERROR(__xludf.DUMMYFUNCTION("""COMPUTED_VALUE"""),"If you know of the toy box killer, this setup will sound familiar. I role-play as the ultimate accomplice, introducing a new sex slave to their new enslavement to me and P Daddy. ")</f>
        <v>If you know of the toy box killer, this setup will sound familiar. I role-play as the ultimate accomplice, introducing a new sex slave to their new enslavement to me and P Daddy. </v>
      </c>
      <c r="E68" s="27" t="str">
        <f>IFERROR(__xludf.DUMMYFUNCTION("""COMPUTED_VALUE"""),"accomplice, intoxication, noncon, snuff")</f>
        <v>accomplice, intoxication, noncon, snuff</v>
      </c>
    </row>
    <row r="69">
      <c r="A69" s="52">
        <f>IFERROR(__xludf.DUMMYFUNCTION("""COMPUTED_VALUE"""),545.0)</f>
        <v>545</v>
      </c>
      <c r="B69" s="51">
        <f>IFERROR(__xludf.DUMMYFUNCTION("""COMPUTED_VALUE"""),45359.0)</f>
        <v>45359</v>
      </c>
      <c r="C69" s="27" t="str">
        <f>IFERROR(__xludf.DUMMYFUNCTION("""COMPUTED_VALUE"""),"Improv: Perv Goon Bliss")</f>
        <v>Improv: Perv Goon Bliss</v>
      </c>
      <c r="D69" s="27" t="str">
        <f>IFERROR(__xludf.DUMMYFUNCTION("""COMPUTED_VALUE"""),"Trigger heavy perv goon bliss. ")</f>
        <v>Trigger heavy perv goon bliss. </v>
      </c>
      <c r="E69" s="27" t="str">
        <f>IFERROR(__xludf.DUMMYFUNCTION("""COMPUTED_VALUE"""),"accomplice, pervert encouragement, noncon, snuff, necro")</f>
        <v>accomplice, pervert encouragement, noncon, snuff, necro</v>
      </c>
    </row>
    <row r="70">
      <c r="A70" s="52">
        <f>IFERROR(__xludf.DUMMYFUNCTION("""COMPUTED_VALUE"""),548.0)</f>
        <v>548</v>
      </c>
      <c r="B70" s="51">
        <f>IFERROR(__xludf.DUMMYFUNCTION("""COMPUTED_VALUE"""),45363.0)</f>
        <v>45363</v>
      </c>
      <c r="C70" s="27" t="str">
        <f>IFERROR(__xludf.DUMMYFUNCTION("""COMPUTED_VALUE"""),"Improv: Mother Gender Traitor")</f>
        <v>Improv: Mother Gender Traitor</v>
      </c>
      <c r="D70" s="27" t="str">
        <f>IFERROR(__xludf.DUMMYFUNCTION("""COMPUTED_VALUE"""),"A mother sits down her son before college to give some advice about how to take what he wants. ")</f>
        <v>A mother sits down her son before college to give some advice about how to take what he wants. </v>
      </c>
      <c r="E70" s="27" t="str">
        <f>IFERROR(__xludf.DUMMYFUNCTION("""COMPUTED_VALUE"""),"misogyny, noncon, snuff, abortion, motherly advice")</f>
        <v>misogyny, noncon, snuff, abortion, motherly advice</v>
      </c>
    </row>
    <row r="71">
      <c r="A71" s="52">
        <f>IFERROR(__xludf.DUMMYFUNCTION("""COMPUTED_VALUE"""),554.0)</f>
        <v>554</v>
      </c>
      <c r="B71" s="51">
        <f>IFERROR(__xludf.DUMMYFUNCTION("""COMPUTED_VALUE"""),45368.0)</f>
        <v>45368</v>
      </c>
      <c r="C71" s="27" t="str">
        <f>IFERROR(__xludf.DUMMYFUNCTION("""COMPUTED_VALUE"""),"Improv: Deadly Twerking")</f>
        <v>Improv: Deadly Twerking</v>
      </c>
      <c r="D71" s="27" t="str">
        <f>IFERROR(__xludf.DUMMYFUNCTION("""COMPUTED_VALUE"""),"A twerking taboo porn star ends up in a scene with a man who is known for extreme uses")</f>
        <v>A twerking taboo porn star ends up in a scene with a man who is known for extreme uses</v>
      </c>
      <c r="E71" s="27" t="str">
        <f>IFERROR(__xludf.DUMMYFUNCTION("""COMPUTED_VALUE"""),"spanking, oral, satanic, choking, almost snuff")</f>
        <v>spanking, oral, satanic, choking, almost snuff</v>
      </c>
    </row>
    <row r="72">
      <c r="A72" s="52">
        <f>IFERROR(__xludf.DUMMYFUNCTION("""COMPUTED_VALUE"""),555.0)</f>
        <v>555</v>
      </c>
      <c r="B72" s="51">
        <f>IFERROR(__xludf.DUMMYFUNCTION("""COMPUTED_VALUE"""),45369.0)</f>
        <v>45369</v>
      </c>
      <c r="C72" s="27" t="str">
        <f>IFERROR(__xludf.DUMMYFUNCTION("""COMPUTED_VALUE"""),"Improv: Perv Queen Phone Call")</f>
        <v>Improv: Perv Queen Phone Call</v>
      </c>
      <c r="D72" s="27" t="str">
        <f>IFERROR(__xludf.DUMMYFUNCTION("""COMPUTED_VALUE"""),"You’re in jail and about to be released. Your perv queen accomplice calls to let you know what’s in store when you’re finally released with a perverted JOI. ")</f>
        <v>You’re in jail and about to be released. Your perv queen accomplice calls to let you know what’s in store when you’re finally released with a perverted JOI. </v>
      </c>
      <c r="E72" s="27" t="str">
        <f>IFERROR(__xludf.DUMMYFUNCTION("""COMPUTED_VALUE"""),"accomplice, pervert encouragement, JOI, snuff, noncon, humiliation")</f>
        <v>accomplice, pervert encouragement, JOI, snuff, noncon, humiliation</v>
      </c>
    </row>
    <row r="73">
      <c r="A73" s="52">
        <f>IFERROR(__xludf.DUMMYFUNCTION("""COMPUTED_VALUE"""),556.0)</f>
        <v>556</v>
      </c>
      <c r="B73" s="51">
        <f>IFERROR(__xludf.DUMMYFUNCTION("""COMPUTED_VALUE"""),45369.0)</f>
        <v>45369</v>
      </c>
      <c r="C73" s="27" t="str">
        <f>IFERROR(__xludf.DUMMYFUNCTION("""COMPUTED_VALUE"""),"Silent Call: Backseat Gangbang")</f>
        <v>Silent Call: Backseat Gangbang</v>
      </c>
      <c r="D73" s="27" t="str">
        <f>IFERROR(__xludf.DUMMYFUNCTION("""COMPUTED_VALUE"""),"A woman pulls you from the park and drives you off to a parking garage where a group of people have their way with you. ")</f>
        <v>A woman pulls you from the park and drives you off to a parking garage where a group of people have their way with you. </v>
      </c>
      <c r="E73" s="27" t="str">
        <f>IFERROR(__xludf.DUMMYFUNCTION("""COMPUTED_VALUE"""),"Domme/lb, f slur, forced bi, noncon, snuff")</f>
        <v>Domme/lb, f slur, forced bi, noncon, snuff</v>
      </c>
    </row>
    <row r="74">
      <c r="A74" s="52">
        <f>IFERROR(__xludf.DUMMYFUNCTION("""COMPUTED_VALUE"""),561.0)</f>
        <v>561</v>
      </c>
      <c r="B74" s="51">
        <f>IFERROR(__xludf.DUMMYFUNCTION("""COMPUTED_VALUE"""),45371.0)</f>
        <v>45371</v>
      </c>
      <c r="C74" s="27" t="str">
        <f>IFERROR(__xludf.DUMMYFUNCTION("""COMPUTED_VALUE"""),"Improv: Fresh New Fuck Meat")</f>
        <v>Improv: Fresh New Fuck Meat</v>
      </c>
      <c r="D74" s="27" t="str">
        <f>IFERROR(__xludf.DUMMYFUNCTION("""COMPUTED_VALUE"""),"Simple encouragement to fuck brand new fuck meat.")</f>
        <v>Simple encouragement to fuck brand new fuck meat.</v>
      </c>
      <c r="E74" s="27" t="str">
        <f>IFERROR(__xludf.DUMMYFUNCTION("""COMPUTED_VALUE"""),"extreme ap, snuff, pervert encouragement")</f>
        <v>extreme ap, snuff, pervert encouragement</v>
      </c>
    </row>
    <row r="75">
      <c r="A75" s="52">
        <f>IFERROR(__xludf.DUMMYFUNCTION("""COMPUTED_VALUE"""),577.0)</f>
        <v>577</v>
      </c>
      <c r="B75" s="51">
        <f>IFERROR(__xludf.DUMMYFUNCTION("""COMPUTED_VALUE"""),45389.0)</f>
        <v>45389</v>
      </c>
      <c r="C75" s="27" t="str">
        <f>IFERROR(__xludf.DUMMYFUNCTION("""COMPUTED_VALUE"""),"Improv: JOI For The Most Depraved")</f>
        <v>Improv: JOI For The Most Depraved</v>
      </c>
      <c r="D75" s="27" t="str">
        <f>IFERROR(__xludf.DUMMYFUNCTION("""COMPUTED_VALUE"""),"Your accomplice aka your perv queen encourages and pulls the worst out of you.  ")</f>
        <v>Your accomplice aka your perv queen encourages and pulls the worst out of you.  </v>
      </c>
      <c r="E75" s="27" t="str">
        <f>IFERROR(__xludf.DUMMYFUNCTION("""COMPUTED_VALUE"""),"JOI, pervert encouragement, noncon, mindfucking, snuff, necro")</f>
        <v>JOI, pervert encouragement, noncon, mindfucking, snuff, necro</v>
      </c>
    </row>
    <row r="76">
      <c r="A76" s="52">
        <f>IFERROR(__xludf.DUMMYFUNCTION("""COMPUTED_VALUE"""),587.0)</f>
        <v>587</v>
      </c>
      <c r="B76" s="51">
        <f>IFERROR(__xludf.DUMMYFUNCTION("""COMPUTED_VALUE"""),45404.0)</f>
        <v>45404</v>
      </c>
      <c r="C76" s="27" t="str">
        <f>IFERROR(__xludf.DUMMYFUNCTION("""COMPUTED_VALUE"""),"Silent Call: Deadly Woman in Leather")</f>
        <v>Silent Call: Deadly Woman in Leather</v>
      </c>
      <c r="D76" s="27" t="str">
        <f>IFERROR(__xludf.DUMMYFUNCTION("""COMPUTED_VALUE"""),"A woman watches a lb fall into danger with a man only to join in and assist after some time. ")</f>
        <v>A woman watches a lb fall into danger with a man only to join in and assist after some time. </v>
      </c>
      <c r="E76" s="27" t="str">
        <f>IFERROR(__xludf.DUMMYFUNCTION("""COMPUTED_VALUE"""),"forced bi, woman/lb, cock sucking, noncon, snuff, anal fingering &amp; fisting")</f>
        <v>forced bi, woman/lb, cock sucking, noncon, snuff, anal fingering &amp; fisting</v>
      </c>
    </row>
    <row r="77">
      <c r="A77" s="52">
        <f>IFERROR(__xludf.DUMMYFUNCTION("""COMPUTED_VALUE"""),596.0)</f>
        <v>596</v>
      </c>
      <c r="B77" s="51">
        <f>IFERROR(__xludf.DUMMYFUNCTION("""COMPUTED_VALUE"""),45407.0)</f>
        <v>45407</v>
      </c>
      <c r="C77" s="27" t="str">
        <f>IFERROR(__xludf.DUMMYFUNCTION("""COMPUTED_VALUE"""),"JOI For My King")</f>
        <v>JOI For My King</v>
      </c>
      <c r="D77" s="27" t="str">
        <f>IFERROR(__xludf.DUMMYFUNCTION("""COMPUTED_VALUE"""),"Trigger heavy, noncon, and dark")</f>
        <v>Trigger heavy, noncon, and dark</v>
      </c>
      <c r="E77" s="27" t="str">
        <f>IFERROR(__xludf.DUMMYFUNCTION("""COMPUTED_VALUE"""),"noncon, snuff, accomplice")</f>
        <v>noncon, snuff, accomplice</v>
      </c>
    </row>
    <row r="78">
      <c r="A78" s="52">
        <f>IFERROR(__xludf.DUMMYFUNCTION("""COMPUTED_VALUE"""),607.0)</f>
        <v>607</v>
      </c>
      <c r="B78" s="51">
        <f>IFERROR(__xludf.DUMMYFUNCTION("""COMPUTED_VALUE"""),45425.0)</f>
        <v>45425</v>
      </c>
      <c r="C78" s="27" t="str">
        <f>IFERROR(__xludf.DUMMYFUNCTION("""COMPUTED_VALUE"""),"Cousin Accomplice")</f>
        <v>Cousin Accomplice</v>
      </c>
      <c r="D78" s="27" t="str">
        <f>IFERROR(__xludf.DUMMYFUNCTION("""COMPUTED_VALUE"""),"Your cute little cousin brings you her BFF and she really gets into encouraging more and more depravity. ")</f>
        <v>Your cute little cousin brings you her BFF and she really gets into encouraging more and more depravity. </v>
      </c>
      <c r="E78" s="27" t="str">
        <f>IFERROR(__xludf.DUMMYFUNCTION("""COMPUTED_VALUE"""),"accomplice, deepthroat, noncon, snuff, necro, cum countdown")</f>
        <v>accomplice, deepthroat, noncon, snuff, necro, cum countdown</v>
      </c>
    </row>
    <row r="79">
      <c r="A79" s="52">
        <f>IFERROR(__xludf.DUMMYFUNCTION("""COMPUTED_VALUE"""),635.0)</f>
        <v>635</v>
      </c>
      <c r="B79" s="51">
        <f>IFERROR(__xludf.DUMMYFUNCTION("""COMPUTED_VALUE"""),45470.0)</f>
        <v>45470</v>
      </c>
      <c r="C79" s="27" t="str">
        <f>IFERROR(__xludf.DUMMYFUNCTION("""COMPUTED_VALUE"""),"Wicked Pregnant Play")</f>
        <v>Wicked Pregnant Play</v>
      </c>
      <c r="D79" s="27" t="str">
        <f>IFERROR(__xludf.DUMMYFUNCTION("""COMPUTED_VALUE"""),"A pregnant mother has a wicked gangbang. ")</f>
        <v>A pregnant mother has a wicked gangbang. </v>
      </c>
      <c r="E79" s="27" t="str">
        <f>IFERROR(__xludf.DUMMYFUNCTION("""COMPUTED_VALUE"""),"pregnant, abortion, gore, snuff, breeding, gangbang")</f>
        <v>pregnant, abortion, gore, snuff, breeding, gangbang</v>
      </c>
    </row>
    <row r="80">
      <c r="A80" s="52">
        <f>IFERROR(__xludf.DUMMYFUNCTION("""COMPUTED_VALUE"""),643.0)</f>
        <v>643</v>
      </c>
      <c r="B80" s="51">
        <f>IFERROR(__xludf.DUMMYFUNCTION("""COMPUTED_VALUE"""),45488.0)</f>
        <v>45488</v>
      </c>
      <c r="C80" s="27" t="str">
        <f>IFERROR(__xludf.DUMMYFUNCTION("""COMPUTED_VALUE"""),"Pervy GFE: Sick Accomplice JOI")</f>
        <v>Pervy GFE: Sick Accomplice JOI</v>
      </c>
      <c r="D80" s="27" t="str">
        <f>IFERROR(__xludf.DUMMYFUNCTION("""COMPUTED_VALUE"""),"Your girlfriend leaves a special audio for you to pull out your darkest side. ")</f>
        <v>Your girlfriend leaves a special audio for you to pull out your darkest side. </v>
      </c>
      <c r="E80" s="27" t="str">
        <f>IFERROR(__xludf.DUMMYFUNCTION("""COMPUTED_VALUE"""),"accomplice, snuff, necro, noncon")</f>
        <v>accomplice, snuff, necro, noncon</v>
      </c>
    </row>
    <row r="81">
      <c r="A81" s="52">
        <f>IFERROR(__xludf.DUMMYFUNCTION("""COMPUTED_VALUE"""),651.0)</f>
        <v>651</v>
      </c>
      <c r="B81" s="51">
        <f>IFERROR(__xludf.DUMMYFUNCTION("""COMPUTED_VALUE"""),45505.0)</f>
        <v>45505</v>
      </c>
      <c r="C81" s="27" t="str">
        <f>IFERROR(__xludf.DUMMYFUNCTION("""COMPUTED_VALUE"""),"Deadly Mom Experience")</f>
        <v>Deadly Mom Experience</v>
      </c>
      <c r="D81" s="27" t="str">
        <f>IFERROR(__xludf.DUMMYFUNCTION("""COMPUTED_VALUE"""),"A mother experiences a traumatic event, yet she finds herself drawn into the depravity. ")</f>
        <v>A mother experiences a traumatic event, yet she finds herself drawn into the depravity. </v>
      </c>
      <c r="E81" s="27" t="str">
        <f>IFERROR(__xludf.DUMMYFUNCTION("""COMPUTED_VALUE"""),"snuff, noncon, accomplice")</f>
        <v>snuff, noncon, accomplice</v>
      </c>
    </row>
    <row r="82">
      <c r="A82" s="52">
        <f>IFERROR(__xludf.DUMMYFUNCTION("""COMPUTED_VALUE"""),668.0)</f>
        <v>668</v>
      </c>
      <c r="B82" s="51">
        <f>IFERROR(__xludf.DUMMYFUNCTION("""COMPUTED_VALUE"""),45542.0)</f>
        <v>45542</v>
      </c>
      <c r="C82" s="27" t="str">
        <f>IFERROR(__xludf.DUMMYFUNCTION("""COMPUTED_VALUE"""),"Deadly Threesome")</f>
        <v>Deadly Threesome</v>
      </c>
      <c r="D82" s="27" t="str">
        <f>IFERROR(__xludf.DUMMYFUNCTION("""COMPUTED_VALUE"""),"Let's go pick up a hot girl from the bar and give her the last good time of her life. ")</f>
        <v>Let's go pick up a hot girl from the bar and give her the last good time of her life. </v>
      </c>
      <c r="E82" s="27" t="str">
        <f>IFERROR(__xludf.DUMMYFUNCTION("""COMPUTED_VALUE"""),"snuff, accomplice, forced intox, sfx, choking, noncon, throat fucking, creampie")</f>
        <v>snuff, accomplice, forced intox, sfx, choking, noncon, throat fucking, creampie</v>
      </c>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33.75"/>
    <col customWidth="1" min="4" max="4" width="36.88"/>
    <col customWidth="1" min="5" max="5" width="23.25"/>
  </cols>
  <sheetData>
    <row r="1">
      <c r="A1" s="45"/>
      <c r="B1" s="46" t="s">
        <v>2012</v>
      </c>
      <c r="C1" s="27"/>
      <c r="D1" s="27"/>
      <c r="E1" s="47" t="s">
        <v>32</v>
      </c>
      <c r="F1" s="58"/>
      <c r="G1" s="58"/>
      <c r="H1" s="58"/>
      <c r="I1" s="58"/>
      <c r="J1" s="58"/>
      <c r="K1" s="58"/>
      <c r="L1" s="58"/>
      <c r="M1" s="58"/>
      <c r="N1" s="58"/>
      <c r="O1" s="58"/>
      <c r="P1" s="58"/>
      <c r="Q1" s="58"/>
      <c r="R1" s="58"/>
      <c r="S1" s="58"/>
      <c r="T1" s="58"/>
      <c r="U1" s="58"/>
      <c r="V1" s="58"/>
      <c r="W1" s="58"/>
      <c r="X1" s="58"/>
      <c r="Y1" s="58"/>
      <c r="Z1" s="58"/>
    </row>
    <row r="2">
      <c r="A2" s="45"/>
      <c r="C2" s="27"/>
      <c r="D2" s="27"/>
      <c r="E2" s="27"/>
      <c r="F2" s="58"/>
      <c r="G2" s="58"/>
      <c r="H2" s="58"/>
      <c r="I2" s="58"/>
      <c r="J2" s="58"/>
      <c r="K2" s="58"/>
      <c r="L2" s="58"/>
      <c r="M2" s="58"/>
      <c r="N2" s="58"/>
      <c r="O2" s="58"/>
      <c r="P2" s="58"/>
      <c r="Q2" s="58"/>
      <c r="R2" s="58"/>
      <c r="S2" s="58"/>
      <c r="T2" s="58"/>
      <c r="U2" s="58"/>
      <c r="V2" s="58"/>
      <c r="W2" s="58"/>
      <c r="X2" s="58"/>
      <c r="Y2" s="58"/>
      <c r="Z2" s="58"/>
    </row>
    <row r="3">
      <c r="A3" s="45"/>
      <c r="B3" s="12" t="s">
        <v>2011</v>
      </c>
      <c r="C3" s="27"/>
      <c r="D3" s="27"/>
      <c r="E3" s="27"/>
      <c r="F3" s="58"/>
      <c r="G3" s="58"/>
      <c r="H3" s="58"/>
      <c r="I3" s="58"/>
      <c r="J3" s="58"/>
      <c r="K3" s="58"/>
      <c r="L3" s="58"/>
      <c r="M3" s="58"/>
      <c r="N3" s="58"/>
      <c r="O3" s="58"/>
      <c r="P3" s="58"/>
      <c r="Q3" s="58"/>
      <c r="R3" s="58"/>
      <c r="S3" s="58"/>
      <c r="T3" s="58"/>
      <c r="U3" s="58"/>
      <c r="V3" s="58"/>
      <c r="W3" s="58"/>
      <c r="X3" s="58"/>
      <c r="Y3" s="58"/>
      <c r="Z3" s="58"/>
    </row>
    <row r="4">
      <c r="A4" s="45"/>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0">
        <f>IFERROR(__xludf.DUMMYFUNCTION("filter(Full!A1:E1002, regexmatch(Full!E1:E1002, ""(?i)incest""))"),12.0)</f>
        <v>12</v>
      </c>
      <c r="B6" s="51">
        <f>IFERROR(__xludf.DUMMYFUNCTION("""COMPUTED_VALUE"""),44738.0)</f>
        <v>44738</v>
      </c>
      <c r="C6" s="27" t="str">
        <f>IFERROR(__xludf.DUMMYFUNCTION("""COMPUTED_VALUE"""),"Silent Call Perv Mommy")</f>
        <v>Silent Call Perv Mommy</v>
      </c>
      <c r="D6" s="27" t="str">
        <f>IFERROR(__xludf.DUMMYFUNCTION("""COMPUTED_VALUE"""),"Listener is encouraged to enjoy my cutie with me")</f>
        <v>Listener is encouraged to enjoy my cutie with me</v>
      </c>
      <c r="E6" s="27" t="str">
        <f>IFERROR(__xludf.DUMMYFUNCTION("""COMPUTED_VALUE"""),"Accomplice, oral, finger, incest")</f>
        <v>Accomplice, oral, finger, incest</v>
      </c>
    </row>
    <row r="7">
      <c r="A7" s="52">
        <f>IFERROR(__xludf.DUMMYFUNCTION("""COMPUTED_VALUE"""),18.0)</f>
        <v>18</v>
      </c>
      <c r="B7" s="51">
        <f>IFERROR(__xludf.DUMMYFUNCTION("""COMPUTED_VALUE"""),44740.0)</f>
        <v>44740</v>
      </c>
      <c r="C7" s="27" t="str">
        <f>IFERROR(__xludf.DUMMYFUNCTION("""COMPUTED_VALUE"""),"Babysitter Rules")</f>
        <v>Babysitter Rules</v>
      </c>
      <c r="D7" s="27" t="str">
        <f>IFERROR(__xludf.DUMMYFUNCTION("""COMPUTED_VALUE"""),"What happens with the babysitter STAYS with the babysitter. Babysitter gives two siblings a naughty lesson. ")</f>
        <v>What happens with the babysitter STAYS with the babysitter. Babysitter gives two siblings a naughty lesson. </v>
      </c>
      <c r="E7" s="27" t="str">
        <f>IFERROR(__xludf.DUMMYFUNCTION("""COMPUTED_VALUE"""),"accomplice, family incest, bro and sis")</f>
        <v>accomplice, family incest, bro and sis</v>
      </c>
    </row>
    <row r="8">
      <c r="A8" s="52">
        <f>IFERROR(__xludf.DUMMYFUNCTION("""COMPUTED_VALUE"""),21.0)</f>
        <v>21</v>
      </c>
      <c r="B8" s="51">
        <f>IFERROR(__xludf.DUMMYFUNCTION("""COMPUTED_VALUE"""),44744.0)</f>
        <v>44744</v>
      </c>
      <c r="C8" s="27" t="str">
        <f>IFERROR(__xludf.DUMMYFUNCTION("""COMPUTED_VALUE"""),"Custom: Sadistic Abusive Mommy")</f>
        <v>Custom: Sadistic Abusive Mommy</v>
      </c>
      <c r="D8" s="27" t="str">
        <f>IFERROR(__xludf.DUMMYFUNCTION("""COMPUTED_VALUE"""),"This one is pretty fucking dark. Mommy has gotten turned on physically and mentally abusing her son. She craves more. She scours dating apps for men that are into abusing little boys and finally finds a match, her son's math teacher. Mr. J comes over and "&amp;"they have a dark and twisted time with the boy and each other.")</f>
        <v>This one is pretty fucking dark. Mommy has gotten turned on physically and mentally abusing her son. She craves more. She scours dating apps for men that are into abusing little boys and finally finds a match, her son's math teacher. Mr. J comes over and they have a dark and twisted time with the boy and each other.</v>
      </c>
      <c r="E8" s="27" t="str">
        <f>IFERROR(__xludf.DUMMYFUNCTION("""COMPUTED_VALUE"""),"twisted cuckold, mommy son, no incest, forced bi, sadistic mommy, creampie cleanup, force, impact, blowjob sounds")</f>
        <v>twisted cuckold, mommy son, no incest, forced bi, sadistic mommy, creampie cleanup, force, impact, blowjob sounds</v>
      </c>
    </row>
    <row r="9">
      <c r="A9" s="52">
        <f>IFERROR(__xludf.DUMMYFUNCTION("""COMPUTED_VALUE"""),38.0)</f>
        <v>38</v>
      </c>
      <c r="B9" s="51">
        <f>IFERROR(__xludf.DUMMYFUNCTION("""COMPUTED_VALUE"""),44753.0)</f>
        <v>44753</v>
      </c>
      <c r="C9" s="27" t="str">
        <f>IFERROR(__xludf.DUMMYFUNCTION("""COMPUTED_VALUE"""),"Real Silent Call: Uncle's First Time")</f>
        <v>Real Silent Call: Uncle's First Time</v>
      </c>
      <c r="D9" s="27" t="str">
        <f>IFERROR(__xludf.DUMMYFUNCTION("""COMPUTED_VALUE"""),"I recollect that first time that you (the listener and uncle) take what you want from me")</f>
        <v>I recollect that first time that you (the listener and uncle) take what you want from me</v>
      </c>
      <c r="E9" s="27" t="str">
        <f>IFERROR(__xludf.DUMMYFUNCTION("""COMPUTED_VALUE"""),"uncle niece, oral, gagging sounds, sex, rimming, anal sex, incest")</f>
        <v>uncle niece, oral, gagging sounds, sex, rimming, anal sex, incest</v>
      </c>
    </row>
    <row r="10">
      <c r="A10" s="52">
        <f>IFERROR(__xludf.DUMMYFUNCTION("""COMPUTED_VALUE"""),39.0)</f>
        <v>39</v>
      </c>
      <c r="B10" s="51">
        <f>IFERROR(__xludf.DUMMYFUNCTION("""COMPUTED_VALUE"""),44754.0)</f>
        <v>44754</v>
      </c>
      <c r="C10" s="27" t="str">
        <f>IFERROR(__xludf.DUMMYFUNCTION("""COMPUTED_VALUE"""),"Custom Fill: DDlg Encouragement")</f>
        <v>Custom Fill: DDlg Encouragement</v>
      </c>
      <c r="D10" s="27" t="str">
        <f>IFERROR(__xludf.DUMMYFUNCTION("""COMPUTED_VALUE"""),"An audio story where I encourage DDlg and incest sex. ")</f>
        <v>An audio story where I encourage DDlg and incest sex. </v>
      </c>
      <c r="E10" s="27" t="str">
        <f>IFERROR(__xludf.DUMMYFUNCTION("""COMPUTED_VALUE"""),"sensual, pervert encouragement, love making, breeding, incest, ddlg")</f>
        <v>sensual, pervert encouragement, love making, breeding, incest, ddlg</v>
      </c>
    </row>
    <row r="11">
      <c r="A11" s="52">
        <f>IFERROR(__xludf.DUMMYFUNCTION("""COMPUTED_VALUE"""),41.0)</f>
        <v>41</v>
      </c>
      <c r="B11" s="51">
        <f>IFERROR(__xludf.DUMMYFUNCTION("""COMPUTED_VALUE"""),44755.0)</f>
        <v>44755</v>
      </c>
      <c r="C11" s="27" t="str">
        <f>IFERROR(__xludf.DUMMYFUNCTION("""COMPUTED_VALUE"""),"Custom Fill: Is Little Brother Bi or Gay?")</f>
        <v>Custom Fill: Is Little Brother Bi or Gay?</v>
      </c>
      <c r="D11" s="27" t="str">
        <f>IFERROR(__xludf.DUMMYFUNCTION("""COMPUTED_VALUE"""),"I am your older sister and I spy on you having sex with a young boy your age. I ask if you think you're gay but you mention you're confused because you think you like girls and boys. I help you explore and help you test this out.")</f>
        <v>I am your older sister and I spy on you having sex with a young boy your age. I ask if you think you're gay but you mention you're confused because you think you like girls and boys. I help you explore and help you test this out.</v>
      </c>
      <c r="E11" s="27" t="str">
        <f>IFERROR(__xludf.DUMMYFUNCTION("""COMPUTED_VALUE"""),"boy on boy sex, bbc, brother &amp; sister, incest, blow job sounds, orgasm, rough sex, CEI")</f>
        <v>boy on boy sex, bbc, brother &amp; sister, incest, blow job sounds, orgasm, rough sex, CEI</v>
      </c>
    </row>
    <row r="12">
      <c r="A12" s="52">
        <f>IFERROR(__xludf.DUMMYFUNCTION("""COMPUTED_VALUE"""),45.0)</f>
        <v>45</v>
      </c>
      <c r="B12" s="51">
        <f>IFERROR(__xludf.DUMMYFUNCTION("""COMPUTED_VALUE"""),44757.0)</f>
        <v>44757</v>
      </c>
      <c r="C12" s="27" t="str">
        <f>IFERROR(__xludf.DUMMYFUNCTION("""COMPUTED_VALUE"""),"Custom Fill: Daddy's Breeding Whore")</f>
        <v>Custom Fill: Daddy's Breeding Whore</v>
      </c>
      <c r="D12" s="27" t="str">
        <f>IFERROR(__xludf.DUMMYFUNCTION("""COMPUTED_VALUE"""),"A woman has been trained to be a breeding whore her whole life by her daddy and older brother. She's a teacher and mommy now and is still spreading her daddy's good word and her legs still. ")</f>
        <v>A woman has been trained to be a breeding whore her whole life by her daddy and older brother. She's a teacher and mommy now and is still spreading her daddy's good word and her legs still. </v>
      </c>
      <c r="E12" s="27" t="str">
        <f>IFERROR(__xludf.DUMMYFUNCTION("""COMPUTED_VALUE"""),"misogyny, groomed to be a breeding slut, breeding, ddlg, bro &amp; sis, daughter training, bad mommy, slut, fuck holes, teacher student, incest")</f>
        <v>misogyny, groomed to be a breeding slut, breeding, ddlg, bro &amp; sis, daughter training, bad mommy, slut, fuck holes, teacher student, incest</v>
      </c>
    </row>
    <row r="13">
      <c r="A13" s="52">
        <f>IFERROR(__xludf.DUMMYFUNCTION("""COMPUTED_VALUE"""),59.0)</f>
        <v>59</v>
      </c>
      <c r="B13" s="51">
        <f>IFERROR(__xludf.DUMMYFUNCTION("""COMPUTED_VALUE"""),44771.0)</f>
        <v>44771</v>
      </c>
      <c r="C13" s="27" t="str">
        <f>IFERROR(__xludf.DUMMYFUNCTION("""COMPUTED_VALUE"""),"Custom FIll: Mommy's Fuck Toy")</f>
        <v>Custom FIll: Mommy's Fuck Toy</v>
      </c>
      <c r="D13" s="27" t="str">
        <f>IFERROR(__xludf.DUMMYFUNCTION("""COMPUTED_VALUE""")," am your girlfriend and I've been your mommy in the bedroom, but now that your real mom lives with us, it's time to make this fantasy into real incest with my help. ")</f>
        <v> am your girlfriend and I've been your mommy in the bedroom, but now that your real mom lives with us, it's time to make this fantasy into real incest with my help. </v>
      </c>
      <c r="E13" s="27" t="str">
        <f>IFERROR(__xludf.DUMMYFUNCTION("""COMPUTED_VALUE"""),"incest, girlfriend experience, ffm threesome, mommy pussy, good boy, gentle fdom, creampie cleanup/CEI, cunnilingus, viagra because you're a fuck toy, MDlb")</f>
        <v>incest, girlfriend experience, ffm threesome, mommy pussy, good boy, gentle fdom, creampie cleanup/CEI, cunnilingus, viagra because you're a fuck toy, MDlb</v>
      </c>
    </row>
    <row r="14">
      <c r="A14" s="52">
        <f>IFERROR(__xludf.DUMMYFUNCTION("""COMPUTED_VALUE"""),64.0)</f>
        <v>64</v>
      </c>
      <c r="B14" s="51">
        <f>IFERROR(__xludf.DUMMYFUNCTION("""COMPUTED_VALUE"""),44774.0)</f>
        <v>44774</v>
      </c>
      <c r="C14" s="27" t="str">
        <f>IFERROR(__xludf.DUMMYFUNCTION("""COMPUTED_VALUE"""),"Custom Fill: Sissy Slut Boy")</f>
        <v>Custom Fill: Sissy Slut Boy</v>
      </c>
      <c r="D14" s="27" t="str">
        <f>IFERROR(__xludf.DUMMYFUNCTION("""COMPUTED_VALUE"""),"Your mommy wants you to take over your late dad's role as sissy slut for her and your sister. ")</f>
        <v>Your mommy wants you to take over your late dad's role as sissy slut for her and your sister. </v>
      </c>
      <c r="E14" s="27" t="str">
        <f>IFERROR(__xludf.DUMMYFUNCTION("""COMPUTED_VALUE""")," incest, sissy, toilet training, ass gas, ass candy, bbc, bbc superiority, MDlb")</f>
        <v> incest, sissy, toilet training, ass gas, ass candy, bbc, bbc superiority, MDlb</v>
      </c>
    </row>
    <row r="15">
      <c r="A15" s="52">
        <f>IFERROR(__xludf.DUMMYFUNCTION("""COMPUTED_VALUE"""),108.0)</f>
        <v>108</v>
      </c>
      <c r="B15" s="51">
        <f>IFERROR(__xludf.DUMMYFUNCTION("""COMPUTED_VALUE"""),44811.0)</f>
        <v>44811</v>
      </c>
      <c r="C15" s="27" t="str">
        <f>IFERROR(__xludf.DUMMYFUNCTION("""COMPUTED_VALUE"""),"Custom Fill: Misogynistic Slut Goes to Therapy")</f>
        <v>Custom Fill: Misogynistic Slut Goes to Therapy</v>
      </c>
      <c r="D15" s="27" t="str">
        <f>IFERROR(__xludf.DUMMYFUNCTION("""COMPUTED_VALUE"""),"A misogynistic slut (me) is required to go to therapy. She explains how she wants to be taken, how her dad made her this way, and even begs for it at the end. ")</f>
        <v>A misogynistic slut (me) is required to go to therapy. She explains how she wants to be taken, how her dad made her this way, and even begs for it at the end. </v>
      </c>
      <c r="E15" s="27" t="str">
        <f>IFERROR(__xludf.DUMMYFUNCTION("""COMPUTED_VALUE""")," misogyny, ddlg, incest, anti-feminist, therapist/client, facial abuse, prolapsed asshole, bulimia glamorization, three fuck holes")</f>
        <v> misogyny, ddlg, incest, anti-feminist, therapist/client, facial abuse, prolapsed asshole, bulimia glamorization, three fuck holes</v>
      </c>
    </row>
    <row r="16">
      <c r="A16" s="52">
        <f>IFERROR(__xludf.DUMMYFUNCTION("""COMPUTED_VALUE"""),110.0)</f>
        <v>110</v>
      </c>
      <c r="B16" s="51">
        <f>IFERROR(__xludf.DUMMYFUNCTION("""COMPUTED_VALUE"""),44813.0)</f>
        <v>44813</v>
      </c>
      <c r="C16" s="27" t="str">
        <f>IFERROR(__xludf.DUMMYFUNCTION("""COMPUTED_VALUE"""),"Custom: Extreme Perversion Award Show")</f>
        <v>Custom: Extreme Perversion Award Show</v>
      </c>
      <c r="D16" s="27" t="str">
        <f>IFERROR(__xludf.DUMMYFUNCTION("""COMPUTED_VALUE""")," I am hosting an award show set in the future where every perversion is legal. I am last year's former winner of Pedo Mom of the Year and I am presenting the finalist for this year. ")</f>
        <v> I am hosting an award show set in the future where every perversion is legal. I am last year's former winner of Pedo Mom of the Year and I am presenting the finalist for this year. </v>
      </c>
      <c r="E16" s="27" t="str">
        <f>IFERROR(__xludf.DUMMYFUNCTION("""COMPUTED_VALUE"""),"awards show, extreme, you might laugh while jerking off to this, bdsm, family gangbang, incest bukkake, extreme insertions, lingerie, poppers, bimbofication, pervert encouragement")</f>
        <v>awards show, extreme, you might laugh while jerking off to this, bdsm, family gangbang, incest bukkake, extreme insertions, lingerie, poppers, bimbofication, pervert encouragement</v>
      </c>
    </row>
    <row r="17">
      <c r="A17" s="52">
        <f>IFERROR(__xludf.DUMMYFUNCTION("""COMPUTED_VALUE"""),120.0)</f>
        <v>120</v>
      </c>
      <c r="B17" s="51">
        <f>IFERROR(__xludf.DUMMYFUNCTION("""COMPUTED_VALUE"""),44831.0)</f>
        <v>44831</v>
      </c>
      <c r="C17" s="27" t="str">
        <f>IFERROR(__xludf.DUMMYFUNCTION("""COMPUTED_VALUE"""),"Custom: Slutty Auntie Producer")</f>
        <v>Custom: Slutty Auntie Producer</v>
      </c>
      <c r="D17" s="27" t="str">
        <f>IFERROR(__xludf.DUMMYFUNCTION("""COMPUTED_VALUE"""),"I have a prude, bitch sister that married a wealthy man and created a family. I make my own money by producing extreme porn and just being an overall slut. Well, my sister's family is living in their Escalade now after her husband lost all of his money. G"&amp;"uess who comes to grovel for money? ")</f>
        <v>I have a prude, bitch sister that married a wealthy man and created a family. I make my own money by producing extreme porn and just being an overall slut. Well, my sister's family is living in their Escalade now after her husband lost all of his money. Guess who comes to grovel for money? </v>
      </c>
      <c r="E17" s="27" t="str">
        <f>IFERROR(__xludf.DUMMYFUNCTION("""COMPUTED_VALUE"""),"blackmail, incest, mom/son, daddy/daughter, group sex, incest bukkake ending")</f>
        <v>blackmail, incest, mom/son, daddy/daughter, group sex, incest bukkake ending</v>
      </c>
    </row>
    <row r="18">
      <c r="A18" s="52">
        <f>IFERROR(__xludf.DUMMYFUNCTION("""COMPUTED_VALUE"""),121.0)</f>
        <v>121</v>
      </c>
      <c r="B18" s="51">
        <f>IFERROR(__xludf.DUMMYFUNCTION("""COMPUTED_VALUE"""),44831.0)</f>
        <v>44831</v>
      </c>
      <c r="C18" s="27" t="str">
        <f>IFERROR(__xludf.DUMMYFUNCTION("""COMPUTED_VALUE"""),"Custom: Perv Family Beginnings - Whole New World")</f>
        <v>Custom: Perv Family Beginnings - Whole New World</v>
      </c>
      <c r="D18" s="27" t="str">
        <f>IFERROR(__xludf.DUMMYFUNCTION("""COMPUTED_VALUE"""),"This might be one of my favorite audios I've created. Me (single mom) and you meet on a taboo dark web site and both have the same desires. We decide to move in together and start a new life together as a happy family. ")</f>
        <v>This might be one of my favorite audios I've created. Me (single mom) and you meet on a taboo dark web site and both have the same desires. We decide to move in together and start a new life together as a happy family. </v>
      </c>
      <c r="E18" s="27" t="str">
        <f>IFERROR(__xludf.DUMMYFUNCTION("""COMPUTED_VALUE"""),"DDlg, mom/daughters, kissing sounds, moaning, training, incest, rimming, cunninlingus, creampie, L bomb")</f>
        <v>DDlg, mom/daughters, kissing sounds, moaning, training, incest, rimming, cunninlingus, creampie, L bomb</v>
      </c>
    </row>
    <row r="19">
      <c r="A19" s="52">
        <f>IFERROR(__xludf.DUMMYFUNCTION("""COMPUTED_VALUE"""),141.0)</f>
        <v>141</v>
      </c>
      <c r="B19" s="51">
        <f>IFERROR(__xludf.DUMMYFUNCTION("""COMPUTED_VALUE"""),44858.0)</f>
        <v>44858</v>
      </c>
      <c r="C19" s="27" t="str">
        <f>IFERROR(__xludf.DUMMYFUNCTION("""COMPUTED_VALUE"""),"Pervert Mommy Podcast")</f>
        <v>Pervert Mommy Podcast</v>
      </c>
      <c r="D19" s="27" t="str">
        <f>IFERROR(__xludf.DUMMYFUNCTION("""COMPUTED_VALUE""")," Two moms hold a podcast promoting their Pervert Mommy &amp; Daughter Secret Retreat where moms and daughters get together for incest lesbian sexy times.")</f>
        <v> Two moms hold a podcast promoting their Pervert Mommy &amp; Daughter Secret Retreat where moms and daughters get together for incest lesbian sexy times.</v>
      </c>
      <c r="E19" s="27" t="str">
        <f>IFERROR(__xludf.DUMMYFUNCTION("""COMPUTED_VALUE"""),"lesbian incest, mom/daughter, PUSSY, nudist, mentions of, nipple play, cunnilingus, &amp; anal orgasms, face sitting, incest")</f>
        <v>lesbian incest, mom/daughter, PUSSY, nudist, mentions of, nipple play, cunnilingus, &amp; anal orgasms, face sitting, incest</v>
      </c>
    </row>
    <row r="20">
      <c r="A20" s="52">
        <f>IFERROR(__xludf.DUMMYFUNCTION("""COMPUTED_VALUE"""),143.0)</f>
        <v>143</v>
      </c>
      <c r="B20" s="51">
        <f>IFERROR(__xludf.DUMMYFUNCTION("""COMPUTED_VALUE"""),44858.0)</f>
        <v>44858</v>
      </c>
      <c r="C20" s="27" t="str">
        <f>IFERROR(__xludf.DUMMYFUNCTION("""COMPUTED_VALUE"""),"Silent Call: Fuck Your Niece")</f>
        <v>Silent Call: Fuck Your Niece</v>
      </c>
      <c r="D20" s="27" t="str">
        <f>IFERROR(__xludf.DUMMYFUNCTION("""COMPUTED_VALUE""")," I'm your sister and I caught you sniffing my daughter/your niece's panties. I give you what you really want. ")</f>
        <v> I'm your sister and I caught you sniffing my daughter/your niece's panties. I give you what you really want. </v>
      </c>
      <c r="E20" s="27" t="str">
        <f>IFERROR(__xludf.DUMMYFUNCTION("""COMPUTED_VALUE"""),"uncle/niece, accomplice, oral, creampie ending, incest")</f>
        <v>uncle/niece, accomplice, oral, creampie ending, incest</v>
      </c>
    </row>
    <row r="21">
      <c r="A21" s="52">
        <f>IFERROR(__xludf.DUMMYFUNCTION("""COMPUTED_VALUE"""),144.0)</f>
        <v>144</v>
      </c>
      <c r="B21" s="51">
        <f>IFERROR(__xludf.DUMMYFUNCTION("""COMPUTED_VALUE"""),44858.0)</f>
        <v>44858</v>
      </c>
      <c r="C21" s="27" t="str">
        <f>IFERROR(__xludf.DUMMYFUNCTION("""COMPUTED_VALUE"""),"Silent Call: Dad Daughter Incest")</f>
        <v>Silent Call: Dad Daughter Incest</v>
      </c>
      <c r="D21" s="27" t="str">
        <f>IFERROR(__xludf.DUMMYFUNCTION("""COMPUTED_VALUE"""),"Fantasy where you sit down and watch cp every evening with your daughter and make love during. ")</f>
        <v>Fantasy where you sit down and watch cp every evening with your daughter and make love during. </v>
      </c>
      <c r="E21" s="27" t="str">
        <f>IFERROR(__xludf.DUMMYFUNCTION("""COMPUTED_VALUE"""),"ddlg, oral, cowgirl, creampie ending, harem of daughters in the future, incest, sweet, sensual, consensual, pervert encouragement")</f>
        <v>ddlg, oral, cowgirl, creampie ending, harem of daughters in the future, incest, sweet, sensual, consensual, pervert encouragement</v>
      </c>
    </row>
    <row r="22">
      <c r="A22" s="52">
        <f>IFERROR(__xludf.DUMMYFUNCTION("""COMPUTED_VALUE"""),145.0)</f>
        <v>145</v>
      </c>
      <c r="B22" s="51">
        <f>IFERROR(__xludf.DUMMYFUNCTION("""COMPUTED_VALUE"""),44859.0)</f>
        <v>44859</v>
      </c>
      <c r="C22" s="27" t="str">
        <f>IFERROR(__xludf.DUMMYFUNCTION("""COMPUTED_VALUE"""),"Script Fill: Mommy's Baby Girl")</f>
        <v>Script Fill: Mommy's Baby Girl</v>
      </c>
      <c r="D22" s="27" t="str">
        <f>IFERROR(__xludf.DUMMYFUNCTION("""COMPUTED_VALUE"""),"A new mom gets so turned on by her baby girl nursing, she starts masturbating during breastfeeding. Then she starts craving more from her baby girl. ")</f>
        <v>A new mom gets so turned on by her baby girl nursing, she starts masturbating during breastfeeding. Then she starts craving more from her baby girl. </v>
      </c>
      <c r="E22" s="27" t="str">
        <f>IFERROR(__xludf.DUMMYFUNCTION("""COMPUTED_VALUE"""),"mommy/daughter, breastfeeding, female masturbation, incest, little pussy rubbing, pinky finger fingering, oral , extreme ap")</f>
        <v>mommy/daughter, breastfeeding, female masturbation, incest, little pussy rubbing, pinky finger fingering, oral , extreme ap</v>
      </c>
    </row>
    <row r="23">
      <c r="A23" s="52">
        <f>IFERROR(__xludf.DUMMYFUNCTION("""COMPUTED_VALUE"""),152.0)</f>
        <v>152</v>
      </c>
      <c r="B23" s="51">
        <f>IFERROR(__xludf.DUMMYFUNCTION("""COMPUTED_VALUE"""),44866.0)</f>
        <v>44866</v>
      </c>
      <c r="C23" s="27" t="str">
        <f>IFERROR(__xludf.DUMMYFUNCTION("""COMPUTED_VALUE"""),"Custom: Mom Is Obsessed With Breeding Daughter")</f>
        <v>Custom: Mom Is Obsessed With Breeding Daughter</v>
      </c>
      <c r="D23" s="27" t="str">
        <f>IFERROR(__xludf.DUMMYFUNCTION("""COMPUTED_VALUE"""),"You are my husband and we have a daughter. I've been obsessed with breeding her but you have been too scared to nut inside of her. I go to extreme places to make sure I get her womb bred. ")</f>
        <v>You are my husband and we have a daughter. I've been obsessed with breeding her but you have been too scared to nut inside of her. I go to extreme places to make sure I get her womb bred. </v>
      </c>
      <c r="E23" s="27" t="str">
        <f>IFERROR(__xludf.DUMMYFUNCTION("""COMPUTED_VALUE"""),"mom/daughter, breeding, Viagra mention, gangbang, little belly bump, breastfeed mention, incest, pervert incouragement")</f>
        <v>mom/daughter, breeding, Viagra mention, gangbang, little belly bump, breastfeed mention, incest, pervert incouragement</v>
      </c>
    </row>
    <row r="24">
      <c r="A24" s="52">
        <f>IFERROR(__xludf.DUMMYFUNCTION("""COMPUTED_VALUE"""),153.0)</f>
        <v>153</v>
      </c>
      <c r="B24" s="51">
        <f>IFERROR(__xludf.DUMMYFUNCTION("""COMPUTED_VALUE"""),44866.0)</f>
        <v>44866</v>
      </c>
      <c r="C24" s="27" t="str">
        <f>IFERROR(__xludf.DUMMYFUNCTION("""COMPUTED_VALUE"""),"Custom: Birthday Doggy Fuck")</f>
        <v>Custom: Birthday Doggy Fuck</v>
      </c>
      <c r="D24" s="27" t="str">
        <f>IFERROR(__xludf.DUMMYFUNCTION("""COMPUTED_VALUE"""),"It's our daughter's birthday! We want to gift her (and the dog) an amazing gift. ")</f>
        <v>It's our daughter's birthday! We want to gift her (and the dog) an amazing gift. </v>
      </c>
      <c r="E24" s="27" t="str">
        <f>IFERROR(__xludf.DUMMYFUNCTION("""COMPUTED_VALUE"""),"training, doggy fuck, knot, doggy sperm, incest mention, consensual, creampie, beast")</f>
        <v>training, doggy fuck, knot, doggy sperm, incest mention, consensual, creampie, beast</v>
      </c>
    </row>
    <row r="25">
      <c r="A25" s="52">
        <f>IFERROR(__xludf.DUMMYFUNCTION("""COMPUTED_VALUE"""),162.0)</f>
        <v>162</v>
      </c>
      <c r="B25" s="51">
        <f>IFERROR(__xludf.DUMMYFUNCTION("""COMPUTED_VALUE"""),44880.0)</f>
        <v>44880</v>
      </c>
      <c r="C25" s="27" t="str">
        <f>IFERROR(__xludf.DUMMYFUNCTION("""COMPUTED_VALUE"""),"Custom: Family Road Trip")</f>
        <v>Custom: Family Road Trip</v>
      </c>
      <c r="D25" s="27" t="str">
        <f>IFERROR(__xludf.DUMMYFUNCTION("""COMPUTED_VALUE"""),"I'm your wife and we're on a road trip with our daughter. I get a little frisky with you while you're driving and our daughter is napping on your lap. She wakes up and mommy teaches her how to please daddy. ")</f>
        <v>I'm your wife and we're on a road trip with our daughter. I get a little frisky with you while you're driving and our daughter is napping on your lap. She wakes up and mommy teaches her how to please daddy. </v>
      </c>
      <c r="E25" s="27" t="str">
        <f>IFERROR(__xludf.DUMMYFUNCTION("""COMPUTED_VALUE"""),"accomplice, road head, precum smears, oral, everyone cums, cum swapping, mom/daughter kiss, incest, DDlg")</f>
        <v>accomplice, road head, precum smears, oral, everyone cums, cum swapping, mom/daughter kiss, incest, DDlg</v>
      </c>
    </row>
    <row r="26">
      <c r="A26" s="52">
        <f>IFERROR(__xludf.DUMMYFUNCTION("""COMPUTED_VALUE"""),163.0)</f>
        <v>163</v>
      </c>
      <c r="B26" s="51">
        <f>IFERROR(__xludf.DUMMYFUNCTION("""COMPUTED_VALUE"""),44881.0)</f>
        <v>44881</v>
      </c>
      <c r="C26" s="27" t="str">
        <f>IFERROR(__xludf.DUMMYFUNCTION("""COMPUTED_VALUE"""),"Custom: A Daughter's Punishment")</f>
        <v>Custom: A Daughter's Punishment</v>
      </c>
      <c r="D26" s="27" t="str">
        <f>IFERROR(__xludf.DUMMYFUNCTION("""COMPUTED_VALUE""")," I play a mom and you're dad. We have a daughter that needs a punishment and we decide turning her into our little fuck toy until we're sexually satisfied will teach her a lesson!")</f>
        <v> I play a mom and you're dad. We have a daughter that needs a punishment and we decide turning her into our little fuck toy until we're sexually satisfied will teach her a lesson!</v>
      </c>
      <c r="E26" s="27" t="str">
        <f>IFERROR(__xludf.DUMMYFUNCTION("""COMPUTED_VALUE"""),"ddlg, mdlg, accomplice, incest, kissing, rimming, oral, blow job sounds, spanking, flat chest slapping, deepthroat, force, tit smothering, choking, rough anal, face sitting/fucking, anal creampie, mention of anal gape")</f>
        <v>ddlg, mdlg, accomplice, incest, kissing, rimming, oral, blow job sounds, spanking, flat chest slapping, deepthroat, force, tit smothering, choking, rough anal, face sitting/fucking, anal creampie, mention of anal gape</v>
      </c>
    </row>
    <row r="27">
      <c r="A27" s="52">
        <f>IFERROR(__xludf.DUMMYFUNCTION("""COMPUTED_VALUE"""),164.0)</f>
        <v>164</v>
      </c>
      <c r="B27" s="51">
        <f>IFERROR(__xludf.DUMMYFUNCTION("""COMPUTED_VALUE"""),44883.0)</f>
        <v>44883</v>
      </c>
      <c r="C27" s="27" t="str">
        <f>IFERROR(__xludf.DUMMYFUNCTION("""COMPUTED_VALUE"""),"Custom: Daddy Daughter Love")</f>
        <v>Custom: Daddy Daughter Love</v>
      </c>
      <c r="D27" s="27" t="str">
        <f>IFERROR(__xludf.DUMMYFUNCTION("""COMPUTED_VALUE"""),"In this fantasy, you are a father to a young girl and you have a deep incestuous love for each other and cannot wait to biological breed your daughter and make more girls to enjoy. ")</f>
        <v>In this fantasy, you are a father to a young girl and you have a deep incestuous love for each other and cannot wait to biological breed your daughter and make more girls to enjoy. </v>
      </c>
      <c r="E27" s="27" t="str">
        <f>IFERROR(__xludf.DUMMYFUNCTION("""COMPUTED_VALUE"""),"incest, ddlg, biological inbreeding, pedophile sympathy, vagina &amp; penis (not cock and pussy), mention of oral and cowgirl, creampie, sensual, consensual")</f>
        <v>incest, ddlg, biological inbreeding, pedophile sympathy, vagina &amp; penis (not cock and pussy), mention of oral and cowgirl, creampie, sensual, consensual</v>
      </c>
    </row>
    <row r="28">
      <c r="A28" s="52">
        <f>IFERROR(__xludf.DUMMYFUNCTION("""COMPUTED_VALUE"""),168.0)</f>
        <v>168</v>
      </c>
      <c r="B28" s="51">
        <f>IFERROR(__xludf.DUMMYFUNCTION("""COMPUTED_VALUE"""),44885.0)</f>
        <v>44885</v>
      </c>
      <c r="C28" s="27" t="str">
        <f>IFERROR(__xludf.DUMMYFUNCTION("""COMPUTED_VALUE"""),"Custom: Grandpa is a Perv")</f>
        <v>Custom: Grandpa is a Perv</v>
      </c>
      <c r="D28" s="27" t="str">
        <f>IFERROR(__xludf.DUMMYFUNCTION("""COMPUTED_VALUE"""),"I find my father's disgusting folder of illegal incest content. I confront him about it because I'm disgusted he wants to sexualize me and our family, but the more I talk about it with him, the more turned on I get, especially when I learn it's my daughte"&amp;"r he really wants. ")</f>
        <v>I find my father's disgusting folder of illegal incest content. I confront him about it because I'm disgusted he wants to sexualize me and our family, but the more I talk about it with him, the more turned on I get, especially when I learn it's my daughter he really wants. </v>
      </c>
      <c r="E28" s="27" t="str">
        <f>IFERROR(__xludf.DUMMYFUNCTION("""COMPUTED_VALUE"""),"humiliation, pervert encouragement, voyeur, ddlg, grandma, family orgy, incest")</f>
        <v>humiliation, pervert encouragement, voyeur, ddlg, grandma, family orgy, incest</v>
      </c>
    </row>
    <row r="29">
      <c r="A29" s="52">
        <f>IFERROR(__xludf.DUMMYFUNCTION("""COMPUTED_VALUE"""),172.0)</f>
        <v>172</v>
      </c>
      <c r="B29" s="51">
        <f>IFERROR(__xludf.DUMMYFUNCTION("""COMPUTED_VALUE"""),44893.0)</f>
        <v>44893</v>
      </c>
      <c r="C29" s="27" t="str">
        <f>IFERROR(__xludf.DUMMYFUNCTION("""COMPUTED_VALUE"""),"Custom: Pervy TMZ")</f>
        <v>Custom: Pervy TMZ</v>
      </c>
      <c r="D29" s="27" t="str">
        <f>IFERROR(__xludf.DUMMYFUNCTION("""COMPUTED_VALUE"""),"In this fantasy audio, pretend you live in a world where there are laws and everything is legal and acceptable. You are tuning into my celebrity gossip TMZ web show.")</f>
        <v>In this fantasy audio, pretend you live in a world where there are laws and everything is legal and acceptable. You are tuning into my celebrity gossip TMZ web show.</v>
      </c>
      <c r="E29" s="27" t="str">
        <f>IFERROR(__xludf.DUMMYFUNCTION("""COMPUTED_VALUE"""),"news, girl on girl, domme, inbreeding, age gape, BBC, incest, abortion mention, foot fetish, brothel, bimbo, pervert encouragement")</f>
        <v>news, girl on girl, domme, inbreeding, age gape, BBC, incest, abortion mention, foot fetish, brothel, bimbo, pervert encouragement</v>
      </c>
    </row>
    <row r="30">
      <c r="A30" s="52">
        <f>IFERROR(__xludf.DUMMYFUNCTION("""COMPUTED_VALUE"""),173.0)</f>
        <v>173</v>
      </c>
      <c r="B30" s="51">
        <f>IFERROR(__xludf.DUMMYFUNCTION("""COMPUTED_VALUE"""),44894.0)</f>
        <v>44894</v>
      </c>
      <c r="C30" s="27" t="str">
        <f>IFERROR(__xludf.DUMMYFUNCTION("""COMPUTED_VALUE"""),"Custom: Family Intrusion")</f>
        <v>Custom: Family Intrusion</v>
      </c>
      <c r="D30" s="27" t="str">
        <f>IFERROR(__xludf.DUMMYFUNCTION("""COMPUTED_VALUE""")," You are my boyfriend and we broke into a family's home and make them do unspeakable things to each other.")</f>
        <v> You are my boyfriend and we broke into a family's home and make them do unspeakable things to each other.</v>
      </c>
      <c r="E30" s="27" t="str">
        <f>IFERROR(__xludf.DUMMYFUNCTION("""COMPUTED_VALUE"""),"fdom, accomplice, evil encourager, incest, coersion, blackmail, oral, penetration, facial, squirt facial")</f>
        <v>fdom, accomplice, evil encourager, incest, coersion, blackmail, oral, penetration, facial, squirt facial</v>
      </c>
    </row>
    <row r="31">
      <c r="A31" s="52">
        <f>IFERROR(__xludf.DUMMYFUNCTION("""COMPUTED_VALUE"""),174.0)</f>
        <v>174</v>
      </c>
      <c r="B31" s="51">
        <f>IFERROR(__xludf.DUMMYFUNCTION("""COMPUTED_VALUE"""),44894.0)</f>
        <v>44894</v>
      </c>
      <c r="C31" s="27" t="str">
        <f>IFERROR(__xludf.DUMMYFUNCTION("""COMPUTED_VALUE"""),"Script Fill: Revisiting Christmas Traditions With Younger Sister (https://scriptbin.works/u/KevinNashWrites/f4m-revisiting-christmas-traditions-with-younger)")</f>
        <v>Script Fill: Revisiting Christmas Traditions With Younger Sister (https://scriptbin.works/u/KevinNashWrites/f4m-revisiting-christmas-traditions-with-younger)</v>
      </c>
      <c r="D31" s="27" t="str">
        <f>IFERROR(__xludf.DUMMYFUNCTION("""COMPUTED_VALUE"""),"You're my brother and we have a Christmas tradition of cuddling watching Home Alone and making your dick cum.")</f>
        <v>You're my brother and we have a Christmas tradition of cuddling watching Home Alone and making your dick cum.</v>
      </c>
      <c r="E31" s="27" t="str">
        <f>IFERROR(__xludf.DUMMYFUNCTION("""COMPUTED_VALUE"""),"no ap, bro/sis, handjob, wet dick stroking sfx, fingering, cum together, cum on my ass, kissing, incest")</f>
        <v>no ap, bro/sis, handjob, wet dick stroking sfx, fingering, cum together, cum on my ass, kissing, incest</v>
      </c>
    </row>
    <row r="32">
      <c r="A32" s="52">
        <f>IFERROR(__xludf.DUMMYFUNCTION("""COMPUTED_VALUE"""),182.0)</f>
        <v>182</v>
      </c>
      <c r="B32" s="51">
        <f>IFERROR(__xludf.DUMMYFUNCTION("""COMPUTED_VALUE"""),44902.0)</f>
        <v>44902</v>
      </c>
      <c r="C32" s="27" t="str">
        <f>IFERROR(__xludf.DUMMYFUNCTION("""COMPUTED_VALUE"""),"Script Fill: Your Younger Sister Needs Your Cum for Her Eggnog Recipe")</f>
        <v>Script Fill: Your Younger Sister Needs Your Cum for Her Eggnog Recipe</v>
      </c>
      <c r="D32" s="27" t="str">
        <f>IFERROR(__xludf.DUMMYFUNCTION("""COMPUTED_VALUE"""),"Your younger sister is drunk off eggnog and tells you about this eggnog recipe that her friend told her about. It is supposed to be the best eggnog ever but she is missing a special ingredient that she can't get at the store. She needs your cum and begs y"&amp;"ou to help her out. You happily oblige.")</f>
        <v>Your younger sister is drunk off eggnog and tells you about this eggnog recipe that her friend told her about. It is supposed to be the best eggnog ever but she is missing a special ingredient that she can't get at the store. She needs your cum and begs you to help her out. You happily oblige.</v>
      </c>
      <c r="E32" s="27" t="str">
        <f>IFERROR(__xludf.DUMMYFUNCTION("""COMPUTED_VALUE"""),"drunk talk, no ageplay, incest, intoxicated, masturbate, handjob, cum eating/drinking")</f>
        <v>drunk talk, no ageplay, incest, intoxicated, masturbate, handjob, cum eating/drinking</v>
      </c>
    </row>
    <row r="33">
      <c r="A33" s="52">
        <f>IFERROR(__xludf.DUMMYFUNCTION("""COMPUTED_VALUE"""),190.0)</f>
        <v>190</v>
      </c>
      <c r="B33" s="51">
        <f>IFERROR(__xludf.DUMMYFUNCTION("""COMPUTED_VALUE"""),44911.0)</f>
        <v>44911</v>
      </c>
      <c r="C33" s="27" t="str">
        <f>IFERROR(__xludf.DUMMYFUNCTION("""COMPUTED_VALUE"""),"Custom: Daddy's 3 Day Old Gift")</f>
        <v>Custom: Daddy's 3 Day Old Gift</v>
      </c>
      <c r="D33" s="27" t="str">
        <f>IFERROR(__xludf.DUMMYFUNCTION("""COMPUTED_VALUE"""),"Me and you are new parents, just got home from the hospital and we enjoy our little gift finally.")</f>
        <v>Me and you are new parents, just got home from the hospital and we enjoy our little gift finally.</v>
      </c>
      <c r="E33" s="27" t="str">
        <f>IFERROR(__xludf.DUMMYFUNCTION("""COMPUTED_VALUE"""),"extreme ap, accomplice wife, pervy wife experience, all three holes, sucking sfx, anal creampie, mommy sucks it out, incest, inbreed mention")</f>
        <v>extreme ap, accomplice wife, pervy wife experience, all three holes, sucking sfx, anal creampie, mommy sucks it out, incest, inbreed mention</v>
      </c>
    </row>
    <row r="34">
      <c r="A34" s="52">
        <f>IFERROR(__xludf.DUMMYFUNCTION("""COMPUTED_VALUE"""),197.0)</f>
        <v>197</v>
      </c>
      <c r="B34" s="51">
        <f>IFERROR(__xludf.DUMMYFUNCTION("""COMPUTED_VALUE"""),45291.0)</f>
        <v>45291</v>
      </c>
      <c r="C34" s="27" t="str">
        <f>IFERROR(__xludf.DUMMYFUNCTION("""COMPUTED_VALUE"""),"Custom: Mom &amp; Dad Can't Wait")</f>
        <v>Custom: Mom &amp; Dad Can't Wait</v>
      </c>
      <c r="D34" s="27" t="str">
        <f>IFERROR(__xludf.DUMMYFUNCTION("""COMPUTED_VALUE"""),"We just gave birth to newborn and just got home from the hospital. We can't wait to enjoy our new bundle while we're waiting on grandpa &amp; uncle to come join us. Fast forward to her first birthday and then her at 3 years old and you'll get to hear how our "&amp;"little toy serves us.")</f>
        <v>We just gave birth to newborn and just got home from the hospital. We can't wait to enjoy our new bundle while we're waiting on grandpa &amp; uncle to come join us. Fast forward to her first birthday and then her at 3 years old and you'll get to hear how our little toy serves us.</v>
      </c>
      <c r="E34" s="27" t="str">
        <f>IFERROR(__xludf.DUMMYFUNCTION("""COMPUTED_VALUE"""),"pervy wife experience, pervy mom &amp; dad, DDlg, incest, grandpa &amp; uncle incest, anal, oral, licking sounds, bukkake, gangbang, bondange, reverse cowgirl, creampie, mommy squirt")</f>
        <v>pervy wife experience, pervy mom &amp; dad, DDlg, incest, grandpa &amp; uncle incest, anal, oral, licking sounds, bukkake, gangbang, bondange, reverse cowgirl, creampie, mommy squirt</v>
      </c>
    </row>
    <row r="35">
      <c r="A35" s="52">
        <f>IFERROR(__xludf.DUMMYFUNCTION("""COMPUTED_VALUE"""),202.0)</f>
        <v>202</v>
      </c>
      <c r="B35" s="51">
        <f>IFERROR(__xludf.DUMMYFUNCTION("""COMPUTED_VALUE"""),44932.0)</f>
        <v>44932</v>
      </c>
      <c r="C35" s="27" t="str">
        <f>IFERROR(__xludf.DUMMYFUNCTION("""COMPUTED_VALUE"""),"Custom: Daddy's Daughter Bride")</f>
        <v>Custom: Daddy's Daughter Bride</v>
      </c>
      <c r="D35" s="27" t="str">
        <f>IFERROR(__xludf.DUMMYFUNCTION("""COMPUTED_VALUE"""),"First I marry you and your young bride and then I talk through your honeymoon experience with your newly wedded bride and daughter.")</f>
        <v>First I marry you and your young bride and then I talk through your honeymoon experience with your newly wedded bride and daughter.</v>
      </c>
      <c r="E35" s="27" t="str">
        <f>IFERROR(__xludf.DUMMYFUNCTION("""COMPUTED_VALUE"""),"sensual, consensual, loving incest, ddlg, wedding/marriage, honeymoon love making, cowgirl, porn producing, creampies, vagina &amp; penis not cock &amp; pussy, incest")</f>
        <v>sensual, consensual, loving incest, ddlg, wedding/marriage, honeymoon love making, cowgirl, porn producing, creampies, vagina &amp; penis not cock &amp; pussy, incest</v>
      </c>
    </row>
    <row r="36">
      <c r="A36" s="52">
        <f>IFERROR(__xludf.DUMMYFUNCTION("""COMPUTED_VALUE"""),208.0)</f>
        <v>208</v>
      </c>
      <c r="B36" s="51">
        <f>IFERROR(__xludf.DUMMYFUNCTION("""COMPUTED_VALUE"""),44937.0)</f>
        <v>44937</v>
      </c>
      <c r="C36" s="27" t="str">
        <f>IFERROR(__xludf.DUMMYFUNCTION("""COMPUTED_VALUE"""),"Custom: A Husband's Debt")</f>
        <v>Custom: A Husband's Debt</v>
      </c>
      <c r="D36" s="27" t="str">
        <f>IFERROR(__xludf.DUMMYFUNCTION("""COMPUTED_VALUE"""),"You (the listener) are in extreme debt. To pay off your debts, your wife, mother, and sister have been sold to me, a brothel owner. You visit the brothel for the first time.")</f>
        <v>You (the listener) are in extreme debt. To pay off your debts, your wife, mother, and sister have been sold to me, a brothel owner. You visit the brothel for the first time.</v>
      </c>
      <c r="E36" s="27" t="str">
        <f>IFERROR(__xludf.DUMMYFUNCTION("""COMPUTED_VALUE"""),"no ap, incest, forced anal/bi, creampie cleanup, cheap whores, sexually slavery, glory hole, mother/son, raceplay, forced cuckoldry, humiliation")</f>
        <v>no ap, incest, forced anal/bi, creampie cleanup, cheap whores, sexually slavery, glory hole, mother/son, raceplay, forced cuckoldry, humiliation</v>
      </c>
    </row>
    <row r="37">
      <c r="A37" s="52">
        <f>IFERROR(__xludf.DUMMYFUNCTION("""COMPUTED_VALUE"""),209.0)</f>
        <v>209</v>
      </c>
      <c r="B37" s="51">
        <f>IFERROR(__xludf.DUMMYFUNCTION("""COMPUTED_VALUE"""),44939.0)</f>
        <v>44939</v>
      </c>
      <c r="C37" s="27" t="str">
        <f>IFERROR(__xludf.DUMMYFUNCTION("""COMPUTED_VALUE"""),"Script Fill: A Quiet Evening")</f>
        <v>Script Fill: A Quiet Evening</v>
      </c>
      <c r="D37" s="27" t="str">
        <f>IFERROR(__xludf.DUMMYFUNCTION("""COMPUTED_VALUE"""),"Experience this family's quiet evening home where incest and depraved things happen")</f>
        <v>Experience this family's quiet evening home where incest and depraved things happen</v>
      </c>
      <c r="E37" s="27" t="str">
        <f>IFERROR(__xludf.DUMMYFUNCTION("""COMPUTED_VALUE"""),"female masturbation, anal, incest, female moaning, whispers, oral, ddlg, beast, sex messes")</f>
        <v>female masturbation, anal, incest, female moaning, whispers, oral, ddlg, beast, sex messes</v>
      </c>
    </row>
    <row r="38">
      <c r="A38" s="52">
        <f>IFERROR(__xludf.DUMMYFUNCTION("""COMPUTED_VALUE"""),211.0)</f>
        <v>211</v>
      </c>
      <c r="B38" s="51">
        <f>IFERROR(__xludf.DUMMYFUNCTION("""COMPUTED_VALUE"""),44941.0)</f>
        <v>44941</v>
      </c>
      <c r="C38" s="27" t="str">
        <f>IFERROR(__xludf.DUMMYFUNCTION("""COMPUTED_VALUE"""),"Custom: My Dad Fantasies")</f>
        <v>Custom: My Dad Fantasies</v>
      </c>
      <c r="D38" s="27" t="str">
        <f>IFERROR(__xludf.DUMMYFUNCTION("""COMPUTED_VALUE"""),"One of my special boys commissioned this audio idea. He wanted to hear the fantasies about my dad I've closed my eyes to and masturbated to. Straight from Miss Bea's imagination. ")</f>
        <v>One of my special boys commissioned this audio idea. He wanted to hear the fantasies about my dad I've closed my eyes to and masturbated to. Straight from Miss Bea's imagination. </v>
      </c>
      <c r="E38" s="27" t="str">
        <f>IFERROR(__xludf.DUMMYFUNCTION("""COMPUTED_VALUE"""),"incest, ddlg, panty sniffing, daddy's good girl, public sex, first masturbation experience, anal, ass to mouth")</f>
        <v>incest, ddlg, panty sniffing, daddy's good girl, public sex, first masturbation experience, anal, ass to mouth</v>
      </c>
    </row>
    <row r="39">
      <c r="A39" s="52">
        <f>IFERROR(__xludf.DUMMYFUNCTION("""COMPUTED_VALUE"""),220.0)</f>
        <v>220</v>
      </c>
      <c r="B39" s="51">
        <f>IFERROR(__xludf.DUMMYFUNCTION("""COMPUTED_VALUE"""),44949.0)</f>
        <v>44949</v>
      </c>
      <c r="C39" s="27" t="str">
        <f>IFERROR(__xludf.DUMMYFUNCTION("""COMPUTED_VALUE"""),"Custom: Daddy's Breeding Whore")</f>
        <v>Custom: Daddy's Breeding Whore</v>
      </c>
      <c r="D39" s="27" t="str">
        <f>IFERROR(__xludf.DUMMYFUNCTION("""COMPUTED_VALUE"""),"A mother finds some interesting clues to let her know dad and her daughter are both into the DDlg fetish. She brings the two of them together, turning her into daddy's breeding whore. ")</f>
        <v>A mother finds some interesting clues to let her know dad and her daughter are both into the DDlg fetish. She brings the two of them together, turning her into daddy's breeding whore. </v>
      </c>
      <c r="E39" s="27" t="str">
        <f>IFERROR(__xludf.DUMMYFUNCTION("""COMPUTED_VALUE"""),"DDlg, hole training, breeding kink, incest, oral, missionary, creampie")</f>
        <v>DDlg, hole training, breeding kink, incest, oral, missionary, creampie</v>
      </c>
    </row>
    <row r="40">
      <c r="A40" s="52">
        <f>IFERROR(__xludf.DUMMYFUNCTION("""COMPUTED_VALUE"""),223.0)</f>
        <v>223</v>
      </c>
      <c r="B40" s="51">
        <f>IFERROR(__xludf.DUMMYFUNCTION("""COMPUTED_VALUE"""),44951.0)</f>
        <v>44951</v>
      </c>
      <c r="C40" s="27" t="str">
        <f>IFERROR(__xludf.DUMMYFUNCTION("""COMPUTED_VALUE"""),"Custom: Forced Cam Show")</f>
        <v>Custom: Forced Cam Show</v>
      </c>
      <c r="D40" s="27" t="str">
        <f>IFERROR(__xludf.DUMMYFUNCTION("""COMPUTED_VALUE"""),"You're my partner and I am your accomplice. I gift you with a live forced incest show that I direct while stroking you. ")</f>
        <v>You're my partner and I am your accomplice. I gift you with a live forced incest show that I direct while stroking you. </v>
      </c>
      <c r="E40" s="27" t="str">
        <f>IFERROR(__xludf.DUMMYFUNCTION("""COMPUTED_VALUE"""),"accomplice, web cam show, DDlg, oral, incest, creampies, force, noncon")</f>
        <v>accomplice, web cam show, DDlg, oral, incest, creampies, force, noncon</v>
      </c>
    </row>
    <row r="41">
      <c r="A41" s="52">
        <f>IFERROR(__xludf.DUMMYFUNCTION("""COMPUTED_VALUE"""),230.0)</f>
        <v>230</v>
      </c>
      <c r="B41" s="51">
        <f>IFERROR(__xludf.DUMMYFUNCTION("""COMPUTED_VALUE"""),44958.0)</f>
        <v>44958</v>
      </c>
      <c r="C41" s="27" t="str">
        <f>IFERROR(__xludf.DUMMYFUNCTION("""COMPUTED_VALUE"""),"Girlfriend Makes You Pervier")</f>
        <v>Girlfriend Makes You Pervier</v>
      </c>
      <c r="D41" s="27" t="str">
        <f>IFERROR(__xludf.DUMMYFUNCTION("""COMPUTED_VALUE"""),"You invite me to help you babysit your niece. I secretly give you handjobs, teasing you with the possibilities. ")</f>
        <v>You invite me to help you babysit your niece. I secretly give you handjobs, teasing you with the possibilities. </v>
      </c>
      <c r="E41" s="27" t="str">
        <f>IFERROR(__xludf.DUMMYFUNCTION("""COMPUTED_VALUE"""),"secret handjob, lap sitting, uncle/niece, pervy gfe, tease, whispers, incest, accomplice, pervert encouragement")</f>
        <v>secret handjob, lap sitting, uncle/niece, pervy gfe, tease, whispers, incest, accomplice, pervert encouragement</v>
      </c>
    </row>
    <row r="42">
      <c r="A42" s="52">
        <f>IFERROR(__xludf.DUMMYFUNCTION("""COMPUTED_VALUE"""),234.0)</f>
        <v>234</v>
      </c>
      <c r="B42" s="51">
        <f>IFERROR(__xludf.DUMMYFUNCTION("""COMPUTED_VALUE"""),44965.0)</f>
        <v>44965</v>
      </c>
      <c r="C42" s="27" t="str">
        <f>IFERROR(__xludf.DUMMYFUNCTION("""COMPUTED_VALUE"""),"Custom: Daddy Takes Charge")</f>
        <v>Custom: Daddy Takes Charge</v>
      </c>
      <c r="D42" s="27" t="str">
        <f>IFERROR(__xludf.DUMMYFUNCTION("""COMPUTED_VALUE"""),"A father turns his daughters into his, used everyday for his pleasures. ")</f>
        <v>A father turns his daughters into his, used everyday for his pleasures. </v>
      </c>
      <c r="E42" s="27" t="str">
        <f>IFERROR(__xludf.DUMMYFUNCTION("""COMPUTED_VALUE"""),"DDlg, incest, breeding, restrained, noncon, creampie, anal, anal creampie")</f>
        <v>DDlg, incest, breeding, restrained, noncon, creampie, anal, anal creampie</v>
      </c>
    </row>
    <row r="43">
      <c r="A43" s="52">
        <f>IFERROR(__xludf.DUMMYFUNCTION("""COMPUTED_VALUE"""),239.0)</f>
        <v>239</v>
      </c>
      <c r="B43" s="51">
        <f>IFERROR(__xludf.DUMMYFUNCTION("""COMPUTED_VALUE"""),44971.0)</f>
        <v>44971</v>
      </c>
      <c r="C43" s="27" t="str">
        <f>IFERROR(__xludf.DUMMYFUNCTION("""COMPUTED_VALUE"""),"Custom: Perverted Girlfriend Reveals Herself")</f>
        <v>Custom: Perverted Girlfriend Reveals Herself</v>
      </c>
      <c r="D43" s="27" t="str">
        <f>IFERROR(__xludf.DUMMYFUNCTION("""COMPUTED_VALUE"""),"I play your girlfriend and notice how much it turns you on to AP role-play with me, but I want to prove to you how perverted I am as well, setting up a twisted fantasy.")</f>
        <v>I play your girlfriend and notice how much it turns you on to AP role-play with me, but I want to prove to you how perverted I am as well, setting up a twisted fantasy.</v>
      </c>
      <c r="E43" s="27" t="str">
        <f>IFERROR(__xludf.DUMMYFUNCTION("""COMPUTED_VALUE"""),"shota only, twins, forced bi, forced intoxication, anal, oral, forced felch, ass to mouth, forced incest, forced porn, perverted girlfriend experience ")</f>
        <v>shota only, twins, forced bi, forced intoxication, anal, oral, forced felch, ass to mouth, forced incest, forced porn, perverted girlfriend experience </v>
      </c>
    </row>
    <row r="44">
      <c r="A44" s="52">
        <f>IFERROR(__xludf.DUMMYFUNCTION("""COMPUTED_VALUE"""),248.0)</f>
        <v>248</v>
      </c>
      <c r="B44" s="51">
        <f>IFERROR(__xludf.DUMMYFUNCTION("""COMPUTED_VALUE"""),44984.0)</f>
        <v>44984</v>
      </c>
      <c r="C44" s="27" t="str">
        <f>IFERROR(__xludf.DUMMYFUNCTION("""COMPUTED_VALUE"""),"Custom: Daughter's Punishment Room")</f>
        <v>Custom: Daughter's Punishment Room</v>
      </c>
      <c r="D44" s="27" t="str">
        <f>IFERROR(__xludf.DUMMYFUNCTION("""COMPUTED_VALUE"""),"Me and the listener are parents and decide to try out our new punishment room with our daughter. ")</f>
        <v>Me and the listener are parents and decide to try out our new punishment room with our daughter. </v>
      </c>
      <c r="E44" s="27" t="str">
        <f>IFERROR(__xludf.DUMMYFUNCTION("""COMPUTED_VALUE"""),"bondage, MDlg, DDlg, choking, oral, oral sfx, spanking, spanking sfx, fingering, crying sfx, moaning sfx, anal, double stuffed, Hitachi wand, collar, anal creampie, squirting, incest")</f>
        <v>bondage, MDlg, DDlg, choking, oral, oral sfx, spanking, spanking sfx, fingering, crying sfx, moaning sfx, anal, double stuffed, Hitachi wand, collar, anal creampie, squirting, incest</v>
      </c>
    </row>
    <row r="45">
      <c r="A45" s="52">
        <f>IFERROR(__xludf.DUMMYFUNCTION("""COMPUTED_VALUE"""),268.0)</f>
        <v>268</v>
      </c>
      <c r="B45" s="51">
        <f>IFERROR(__xludf.DUMMYFUNCTION("""COMPUTED_VALUE"""),45008.0)</f>
        <v>45008</v>
      </c>
      <c r="C45" s="27" t="str">
        <f>IFERROR(__xludf.DUMMYFUNCTION("""COMPUTED_VALUE"""),"Commercials of Perversions")</f>
        <v>Commercials of Perversions</v>
      </c>
      <c r="D45" s="27" t="str">
        <f>IFERROR(__xludf.DUMMYFUNCTION("""COMPUTED_VALUE""")," Maisie Moon is back with more commercials of extreme perversions. ")</f>
        <v> Maisie Moon is back with more commercials of extreme perversions. </v>
      </c>
      <c r="E45" s="27" t="str">
        <f>IFERROR(__xludf.DUMMYFUNCTION("""COMPUTED_VALUE"""),"sex toys, deep throat, intoxication, DDlg, incest, bdsm, plastic surgery, chastity, beast, snuff, necro, misogyny")</f>
        <v>sex toys, deep throat, intoxication, DDlg, incest, bdsm, plastic surgery, chastity, beast, snuff, necro, misogyny</v>
      </c>
    </row>
    <row r="46">
      <c r="A46" s="52">
        <f>IFERROR(__xludf.DUMMYFUNCTION("""COMPUTED_VALUE"""),269.0)</f>
        <v>269</v>
      </c>
      <c r="B46" s="51">
        <f>IFERROR(__xludf.DUMMYFUNCTION("""COMPUTED_VALUE"""),45009.0)</f>
        <v>45009</v>
      </c>
      <c r="C46" s="27" t="str">
        <f>IFERROR(__xludf.DUMMYFUNCTION("""COMPUTED_VALUE"""),"Custom: Wank For Mommy")</f>
        <v>Custom: Wank For Mommy</v>
      </c>
      <c r="D46" s="27" t="str">
        <f>IFERROR(__xludf.DUMMYFUNCTION("""COMPUTED_VALUE"""),"Wanking encouragement audio where I encourage a mommy’s boy that it’s okay to fantasize and jerk off to his mom. ")</f>
        <v>Wanking encouragement audio where I encourage a mommy’s boy that it’s okay to fantasize and jerk off to his mom. </v>
      </c>
      <c r="E46" s="27" t="str">
        <f>IFERROR(__xludf.DUMMYFUNCTION("""COMPUTED_VALUE"""),"MDlb, masturbation encouragement, CEI, heavy mom tits, hairy pussy, rimming, cunninlingus, incest")</f>
        <v>MDlb, masturbation encouragement, CEI, heavy mom tits, hairy pussy, rimming, cunninlingus, incest</v>
      </c>
    </row>
    <row r="47">
      <c r="A47" s="52">
        <f>IFERROR(__xludf.DUMMYFUNCTION("""COMPUTED_VALUE"""),276.0)</f>
        <v>276</v>
      </c>
      <c r="B47" s="51">
        <f>IFERROR(__xludf.DUMMYFUNCTION("""COMPUTED_VALUE"""),45015.0)</f>
        <v>45015</v>
      </c>
      <c r="C47" s="27" t="str">
        <f>IFERROR(__xludf.DUMMYFUNCTION("""COMPUTED_VALUE"""),"Mommy Does Incest")</f>
        <v>Mommy Does Incest</v>
      </c>
      <c r="D47" s="27" t="str">
        <f>IFERROR(__xludf.DUMMYFUNCTION("""COMPUTED_VALUE"""),"A mother confesses for the first time how she’s turned her son into her incest lover. ")</f>
        <v>A mother confesses for the first time how she’s turned her son into her incest lover. </v>
      </c>
      <c r="E47" s="27" t="str">
        <f>IFERROR(__xludf.DUMMYFUNCTION("""COMPUTED_VALUE"""),"MDlb, incest, handjob, breastfeeding, fingering, fisting, oral, cum eating, incest sex")</f>
        <v>MDlb, incest, handjob, breastfeeding, fingering, fisting, oral, cum eating, incest sex</v>
      </c>
    </row>
    <row r="48">
      <c r="A48" s="52">
        <f>IFERROR(__xludf.DUMMYFUNCTION("""COMPUTED_VALUE"""),278.0)</f>
        <v>278</v>
      </c>
      <c r="B48" s="51">
        <f>IFERROR(__xludf.DUMMYFUNCTION("""COMPUTED_VALUE"""),45019.0)</f>
        <v>45019</v>
      </c>
      <c r="C48" s="27" t="str">
        <f>IFERROR(__xludf.DUMMYFUNCTION("""COMPUTED_VALUE"""),"Silent Call: Brother Blackmails Sister")</f>
        <v>Silent Call: Brother Blackmails Sister</v>
      </c>
      <c r="D48" s="27" t="str">
        <f>IFERROR(__xludf.DUMMYFUNCTION("""COMPUTED_VALUE"""),"My brother blackmails me into fucking him and I hate every second of it. ")</f>
        <v>My brother blackmails me into fucking him and I hate every second of it. </v>
      </c>
      <c r="E48" s="27" t="str">
        <f>IFERROR(__xludf.DUMMYFUNCTION("""COMPUTED_VALUE"""),"blackmailed sis, bro/sis, incest, forced incest, dubious consent, inbreeding, fertile, blow job sounds, cowgirl, missionary, creampie")</f>
        <v>blackmailed sis, bro/sis, incest, forced incest, dubious consent, inbreeding, fertile, blow job sounds, cowgirl, missionary, creampie</v>
      </c>
    </row>
    <row r="49">
      <c r="A49" s="52">
        <f>IFERROR(__xludf.DUMMYFUNCTION("""COMPUTED_VALUE"""),282.0)</f>
        <v>282</v>
      </c>
      <c r="B49" s="51">
        <f>IFERROR(__xludf.DUMMYFUNCTION("""COMPUTED_VALUE"""),45021.0)</f>
        <v>45021</v>
      </c>
      <c r="C49" s="27" t="str">
        <f>IFERROR(__xludf.DUMMYFUNCTION("""COMPUTED_VALUE"""),"Perv Family Voicemails &amp; Captions")</f>
        <v>Perv Family Voicemails &amp; Captions</v>
      </c>
      <c r="D49" s="27" t="str">
        <f>IFERROR(__xludf.DUMMYFUNCTION("""COMPUTED_VALUE"""),"I am your wife and we have 4 kids together that I homeschool while you're at work. You get to experience a day in the life where I send text messages and voicemails. ")</f>
        <v>I am your wife and we have 4 kids together that I homeschool while you're at work. You get to experience a day in the life where I send text messages and voicemails. </v>
      </c>
      <c r="E49" s="27" t="str">
        <f>IFERROR(__xludf.DUMMYFUNCTION("""COMPUTED_VALUE"""),"captions, fake text messages, pervy wife experience, incest, bro/sis, mom/daughter, ddlg, dad/son, very light bi mention, breastfeeding, misogyny, anal, bondage, playground sfx, moaning/gagged sfx, incest")</f>
        <v>captions, fake text messages, pervy wife experience, incest, bro/sis, mom/daughter, ddlg, dad/son, very light bi mention, breastfeeding, misogyny, anal, bondage, playground sfx, moaning/gagged sfx, incest</v>
      </c>
    </row>
    <row r="50">
      <c r="A50" s="52">
        <f>IFERROR(__xludf.DUMMYFUNCTION("""COMPUTED_VALUE"""),290.0)</f>
        <v>290</v>
      </c>
      <c r="B50" s="51">
        <f>IFERROR(__xludf.DUMMYFUNCTION("""COMPUTED_VALUE"""),45034.0)</f>
        <v>45034</v>
      </c>
      <c r="C50" s="27" t="str">
        <f>IFERROR(__xludf.DUMMYFUNCTION("""COMPUTED_VALUE"""),"Custom: DDlg Blackmail")</f>
        <v>Custom: DDlg Blackmail</v>
      </c>
      <c r="D50" s="27" t="str">
        <f>IFERROR(__xludf.DUMMYFUNCTION("""COMPUTED_VALUE"""),"I’m your loving girlfriend that’s encourage your ddlg fantasies and we’ve had a lot of kinky fun. I reveal to you that all those kinky dares I gave you to prove you’re a secret perv dad are now ammunition for me to force you into doing something super fuc"&amp;"ked up mostly for my pleasure. ")</f>
        <v>I’m your loving girlfriend that’s encourage your ddlg fantasies and we’ve had a lot of kinky fun. I reveal to you that all those kinky dares I gave you to prove you’re a secret perv dad are now ammunition for me to force you into doing something super fucked up mostly for my pleasure. </v>
      </c>
      <c r="E50" s="27" t="str">
        <f>IFERROR(__xludf.DUMMYFUNCTION("""COMPUTED_VALUE"""),"DDlg, pervy gfe, dirty talk, panty sniffing, cum tributes, blackmail threats, accomplice, noncon, devious corruption, intoxication, breeding, incest")</f>
        <v>DDlg, pervy gfe, dirty talk, panty sniffing, cum tributes, blackmail threats, accomplice, noncon, devious corruption, intoxication, breeding, incest</v>
      </c>
    </row>
    <row r="51">
      <c r="A51" s="52">
        <f>IFERROR(__xludf.DUMMYFUNCTION("""COMPUTED_VALUE"""),294.0)</f>
        <v>294</v>
      </c>
      <c r="B51" s="51">
        <f>IFERROR(__xludf.DUMMYFUNCTION("""COMPUTED_VALUE"""),45040.0)</f>
        <v>45040</v>
      </c>
      <c r="C51" s="27" t="str">
        <f>IFERROR(__xludf.DUMMYFUNCTION("""COMPUTED_VALUE"""),"Custom: Do It Counseling Program")</f>
        <v>Custom: Do It Counseling Program</v>
      </c>
      <c r="D51" s="27" t="str">
        <f>IFERROR(__xludf.DUMMYFUNCTION("""COMPUTED_VALUE"""),"Imagine living in a world where there’s no laws and everything is legal. Now imagine you sign up for an online counseling program to help you and your spouse create a world of extreme perversion, right in your own home.")</f>
        <v>Imagine living in a world where there’s no laws and everything is legal. Now imagine you sign up for an online counseling program to help you and your spouse create a world of extreme perversion, right in your own home.</v>
      </c>
      <c r="E51" s="27" t="str">
        <f>IFERROR(__xludf.DUMMYFUNCTION("""COMPUTED_VALUE"""),"therapist, incest, encouragement, noncon, lingerie, sex toys, cum sluts, watersports, choking, anal, ass to mouth, porn encouragement, background music, pervert encouragement")</f>
        <v>therapist, incest, encouragement, noncon, lingerie, sex toys, cum sluts, watersports, choking, anal, ass to mouth, porn encouragement, background music, pervert encouragement</v>
      </c>
    </row>
    <row r="52">
      <c r="A52" s="52">
        <f>IFERROR(__xludf.DUMMYFUNCTION("""COMPUTED_VALUE"""),296.0)</f>
        <v>296</v>
      </c>
      <c r="B52" s="51">
        <f>IFERROR(__xludf.DUMMYFUNCTION("""COMPUTED_VALUE"""),45042.0)</f>
        <v>45042</v>
      </c>
      <c r="C52" s="27" t="str">
        <f>IFERROR(__xludf.DUMMYFUNCTION("""COMPUTED_VALUE"""),"Silent Call: Dream Accomplice")</f>
        <v>Silent Call: Dream Accomplice</v>
      </c>
      <c r="D52" s="27" t="str">
        <f>IFERROR(__xludf.DUMMYFUNCTION("""COMPUTED_VALUE"""),"I’m a psychologist that studies dreams and the mind and also your sister. You’ve been having fever dreams and can’t figure what’s happening. I have a device that lets me look into the mind and see what people are dreaming about so I come over and hook you"&amp;" up to it. What I see is shocking, yet to my surprise, I get into it.  ")</f>
        <v>I’m a psychologist that studies dreams and the mind and also your sister. You’ve been having fever dreams and can’t figure what’s happening. I have a device that lets me look into the mind and see what people are dreaming about so I come over and hook you up to it. What I see is shocking, yet to my surprise, I get into it.  </v>
      </c>
      <c r="E52" s="27" t="str">
        <f>IFERROR(__xludf.DUMMYFUNCTION("""COMPUTED_VALUE"""),"bro/sis, uncle/niece, lingerie, strip tease, accomplice, oral, breeding mention, incest, cum countdown")</f>
        <v>bro/sis, uncle/niece, lingerie, strip tease, accomplice, oral, breeding mention, incest, cum countdown</v>
      </c>
    </row>
    <row r="53">
      <c r="A53" s="52">
        <f>IFERROR(__xludf.DUMMYFUNCTION("""COMPUTED_VALUE"""),306.0)</f>
        <v>306</v>
      </c>
      <c r="B53" s="51">
        <f>IFERROR(__xludf.DUMMYFUNCTION("""COMPUTED_VALUE"""),45054.0)</f>
        <v>45054</v>
      </c>
      <c r="C53" s="27" t="str">
        <f>IFERROR(__xludf.DUMMYFUNCTION("""COMPUTED_VALUE"""),"Custom: Rose's Birthday")</f>
        <v>Custom: Rose's Birthday</v>
      </c>
      <c r="D53" s="27" t="str">
        <f>IFERROR(__xludf.DUMMYFUNCTION("""COMPUTED_VALUE"""),"The perverted family is back for more shenanigans with captions and voicemails. It's Rose's birthday and mommy is planning her first gangbang! But first, she needs to take a shopping trip to get prepared for the big night. ")</f>
        <v>The perverted family is back for more shenanigans with captions and voicemails. It's Rose's birthday and mommy is planning her first gangbang! But first, she needs to take a shopping trip to get prepared for the big night. </v>
      </c>
      <c r="E53" s="27" t="str">
        <f>IFERROR(__xludf.DUMMYFUNCTION("""COMPUTED_VALUE"""),"fake text messages, voicemails, DDlg, MDlg, incest, creampie cleanup, fisting, breastfeeding, oral, porn, gangbang, lingerie, bikini")</f>
        <v>fake text messages, voicemails, DDlg, MDlg, incest, creampie cleanup, fisting, breastfeeding, oral, porn, gangbang, lingerie, bikini</v>
      </c>
    </row>
    <row r="54">
      <c r="A54" s="52">
        <f>IFERROR(__xludf.DUMMYFUNCTION("""COMPUTED_VALUE"""),316.0)</f>
        <v>316</v>
      </c>
      <c r="B54" s="51">
        <f>IFERROR(__xludf.DUMMYFUNCTION("""COMPUTED_VALUE"""),45079.0)</f>
        <v>45079</v>
      </c>
      <c r="C54" s="27" t="str">
        <f>IFERROR(__xludf.DUMMYFUNCTION("""COMPUTED_VALUE"""),"Custom: Hypnotherapy From Mommy")</f>
        <v>Custom: Hypnotherapy From Mommy</v>
      </c>
      <c r="D54" s="27" t="str">
        <f>IFERROR(__xludf.DUMMYFUNCTION("""COMPUTED_VALUE""")," You are my patient and I am your therapist. You have revealed some really twisted sexual desires and fantasies you have and I decide that the only way to help you deal with them in a “healthy” way is through hypnotherapy. I put you into trance and become"&amp;" your mother and age regress you, bringing up your attraction to your little sister and me, and finally taking your virginity.")</f>
        <v> You are my patient and I am your therapist. You have revealed some really twisted sexual desires and fantasies you have and I decide that the only way to help you deal with them in a “healthy” way is through hypnotherapy. I put you into trance and become your mother and age regress you, bringing up your attraction to your little sister and me, and finally taking your virginity.</v>
      </c>
      <c r="E54" s="27" t="str">
        <f>IFERROR(__xludf.DUMMYFUNCTION("""COMPUTED_VALUE"""),"hypno, binaural, therapist/patient, incest, age regression, little sis/big bro, MDlb, oral, oral sfx, cowgirl, incest sex, creampie, cum countdown, CEI, creampie cleanup.")</f>
        <v>hypno, binaural, therapist/patient, incest, age regression, little sis/big bro, MDlb, oral, oral sfx, cowgirl, incest sex, creampie, cum countdown, CEI, creampie cleanup.</v>
      </c>
    </row>
    <row r="55">
      <c r="A55" s="52">
        <f>IFERROR(__xludf.DUMMYFUNCTION("""COMPUTED_VALUE"""),330.0)</f>
        <v>330</v>
      </c>
      <c r="B55" s="51">
        <f>IFERROR(__xludf.DUMMYFUNCTION("""COMPUTED_VALUE"""),45098.0)</f>
        <v>45098</v>
      </c>
      <c r="C55" s="27" t="str">
        <f>IFERROR(__xludf.DUMMYFUNCTION("""COMPUTED_VALUE"""),"Custom: The Naughty Neighbor’s Part 1")</f>
        <v>Custom: The Naughty Neighbor’s Part 1</v>
      </c>
      <c r="D55" s="27" t="str">
        <f>IFERROR(__xludf.DUMMYFUNCTION("""COMPUTED_VALUE"""),"A married couple have sex with their neighbors, the infamous duo from a former audio (Rose’s Birthday) who are perv parents. The pervy parents let them in on their perverted family life, inspiring the couple to dip into the same lifestyle, especially afte"&amp;"r finding their daughter was chatting in a pervy chatroom called Miss Bea’s Bedroom.")</f>
        <v>A married couple have sex with their neighbors, the infamous duo from a former audio (Rose’s Birthday) who are perv parents. The pervy parents let them in on their perverted family life, inspiring the couple to dip into the same lifestyle, especially after finding their daughter was chatting in a pervy chatroom called Miss Bea’s Bedroom.</v>
      </c>
      <c r="E55" s="27" t="str">
        <f>IFERROR(__xludf.DUMMYFUNCTION("""COMPUTED_VALUE"""),"swinging, corruption, incest, captions, DDlg, pillow humping, panties")</f>
        <v>swinging, corruption, incest, captions, DDlg, pillow humping, panties</v>
      </c>
    </row>
    <row r="56">
      <c r="A56" s="52">
        <f>IFERROR(__xludf.DUMMYFUNCTION("""COMPUTED_VALUE"""),331.0)</f>
        <v>331</v>
      </c>
      <c r="B56" s="51">
        <f>IFERROR(__xludf.DUMMYFUNCTION("""COMPUTED_VALUE"""),45099.0)</f>
        <v>45099</v>
      </c>
      <c r="C56" s="27" t="str">
        <f>IFERROR(__xludf.DUMMYFUNCTION("""COMPUTED_VALUE"""),"Custom: Princess Academy")</f>
        <v>Custom: Princess Academy</v>
      </c>
      <c r="D56" s="27" t="str">
        <f>IFERROR(__xludf.DUMMYFUNCTION("""COMPUTED_VALUE"""),"I’m Miss Peach and I run the Princess Academy where I teach helpful (and completely pervy) skills. ")</f>
        <v>I’m Miss Peach and I run the Princess Academy where I teach helpful (and completely pervy) skills. </v>
      </c>
      <c r="E56" s="27" t="str">
        <f>IFERROR(__xludf.DUMMYFUNCTION("""COMPUTED_VALUE"""),"training, incest, DDlg, MDlg, seduction, striptease/lap dance, gangbang mention, oral sfx, creampie")</f>
        <v>training, incest, DDlg, MDlg, seduction, striptease/lap dance, gangbang mention, oral sfx, creampie</v>
      </c>
    </row>
    <row r="57">
      <c r="A57" s="52">
        <f>IFERROR(__xludf.DUMMYFUNCTION("""COMPUTED_VALUE"""),332.0)</f>
        <v>332</v>
      </c>
      <c r="B57" s="51">
        <f>IFERROR(__xludf.DUMMYFUNCTION("""COMPUTED_VALUE"""),45102.0)</f>
        <v>45102</v>
      </c>
      <c r="C57" s="27" t="str">
        <f>IFERROR(__xludf.DUMMYFUNCTION("""COMPUTED_VALUE"""),"Custom: Mommy’s Hypnotherapy Part 2")</f>
        <v>Custom: Mommy’s Hypnotherapy Part 2</v>
      </c>
      <c r="D57" s="27" t="str">
        <f>IFERROR(__xludf.DUMMYFUNCTION("""COMPUTED_VALUE"""),"I’m a therapist who knows about the extreme perversions inside of your head. Instead of dispelling them, I decide to do a special kind of hypnotherapy")</f>
        <v>I’m a therapist who knows about the extreme perversions inside of your head. Instead of dispelling them, I decide to do a special kind of hypnotherapy</v>
      </c>
      <c r="E57" s="27" t="str">
        <f>IFERROR(__xludf.DUMMYFUNCTION("""COMPUTED_VALUE"""),"hypno, binaural, asmr, sfx, mom/son, perv encouragement, accomplice, brief incest mention, noncon, three orgasms/one cum countdown, face use, creampies")</f>
        <v>hypno, binaural, asmr, sfx, mom/son, perv encouragement, accomplice, brief incest mention, noncon, three orgasms/one cum countdown, face use, creampies</v>
      </c>
    </row>
    <row r="58">
      <c r="A58" s="52">
        <f>IFERROR(__xludf.DUMMYFUNCTION("""COMPUTED_VALUE"""),334.0)</f>
        <v>334</v>
      </c>
      <c r="B58" s="51">
        <f>IFERROR(__xludf.DUMMYFUNCTION("""COMPUTED_VALUE"""),45104.0)</f>
        <v>45104</v>
      </c>
      <c r="C58" s="27" t="str">
        <f>IFERROR(__xludf.DUMMYFUNCTION("""COMPUTED_VALUE"""),"Custom: Welcome Home, Son")</f>
        <v>Custom: Welcome Home, Son</v>
      </c>
      <c r="D58" s="27" t="str">
        <f>IFERROR(__xludf.DUMMYFUNCTION("""COMPUTED_VALUE"""),"A new mother settles down with her family, setting the course of her son’s life. ")</f>
        <v>A new mother settles down with her family, setting the course of her son’s life. </v>
      </c>
      <c r="E58" s="27" t="str">
        <f>IFERROR(__xludf.DUMMYFUNCTION("""COMPUTED_VALUE"""),"incest, extreme ap, MDlb, DDlg, sibling incest, oral, anal")</f>
        <v>incest, extreme ap, MDlb, DDlg, sibling incest, oral, anal</v>
      </c>
    </row>
    <row r="59">
      <c r="A59" s="52">
        <f>IFERROR(__xludf.DUMMYFUNCTION("""COMPUTED_VALUE"""),335.0)</f>
        <v>335</v>
      </c>
      <c r="B59" s="51">
        <f>IFERROR(__xludf.DUMMYFUNCTION("""COMPUTED_VALUE"""),45107.0)</f>
        <v>45107</v>
      </c>
      <c r="C59" s="27" t="str">
        <f>IFERROR(__xludf.DUMMYFUNCTION("""COMPUTED_VALUE"""),"Naughty Neighbors Part 2")</f>
        <v>Naughty Neighbors Part 2</v>
      </c>
      <c r="D59" s="27" t="str">
        <f>IFERROR(__xludf.DUMMYFUNCTION("""COMPUTED_VALUE"""),"A mother sits down with her daughter to talk about the things she discovered on her tablet (in part 1 audio) and her daughter coyly seduces her. Afterwards, she brings her husband in to ask him if he wants to join in the naughty fun. ")</f>
        <v>A mother sits down with her daughter to talk about the things she discovered on her tablet (in part 1 audio) and her daughter coyly seduces her. Afterwards, she brings her husband in to ask him if he wants to join in the naughty fun. </v>
      </c>
      <c r="E59" s="27" t="str">
        <f>IFERROR(__xludf.DUMMYFUNCTION("""COMPUTED_VALUE""")," incest, MDlg, DDlg, female masturbation, kissing, oral, creampie, creampie cleanup and swap")</f>
        <v> incest, MDlg, DDlg, female masturbation, kissing, oral, creampie, creampie cleanup and swap</v>
      </c>
    </row>
    <row r="60">
      <c r="A60" s="52">
        <f>IFERROR(__xludf.DUMMYFUNCTION("""COMPUTED_VALUE"""),337.0)</f>
        <v>337</v>
      </c>
      <c r="B60" s="51">
        <f>IFERROR(__xludf.DUMMYFUNCTION("""COMPUTED_VALUE"""),45109.0)</f>
        <v>45109</v>
      </c>
      <c r="C60" s="27" t="str">
        <f>IFERROR(__xludf.DUMMYFUNCTION("""COMPUTED_VALUE"""),"Improv Quickie: Anal Whore Mommy")</f>
        <v>Improv Quickie: Anal Whore Mommy</v>
      </c>
      <c r="D60" s="27" t="str">
        <f>IFERROR(__xludf.DUMMYFUNCTION("""COMPUTED_VALUE"""),"Just a down and dirty quickie about a mom offering her ass to her son. ")</f>
        <v>Just a down and dirty quickie about a mom offering her ass to her son. </v>
      </c>
      <c r="E60" s="27" t="str">
        <f>IFERROR(__xludf.DUMMYFUNCTION("""COMPUTED_VALUE"""),"incest, anal, slutty mommy, anal creampie, dirty talk, Mdlb")</f>
        <v>incest, anal, slutty mommy, anal creampie, dirty talk, Mdlb</v>
      </c>
    </row>
    <row r="61">
      <c r="A61" s="52">
        <f>IFERROR(__xludf.DUMMYFUNCTION("""COMPUTED_VALUE"""),349.0)</f>
        <v>349</v>
      </c>
      <c r="B61" s="51">
        <f>IFERROR(__xludf.DUMMYFUNCTION("""COMPUTED_VALUE"""),45112.0)</f>
        <v>45112</v>
      </c>
      <c r="C61" s="27" t="str">
        <f>IFERROR(__xludf.DUMMYFUNCTION("""COMPUTED_VALUE"""),"Custom: Naughty Neighbors Part 3")</f>
        <v>Custom: Naughty Neighbors Part 3</v>
      </c>
      <c r="D61" s="27" t="str">
        <f>IFERROR(__xludf.DUMMYFUNCTION("""COMPUTED_VALUE"""),"The two families come together for fun live movie streaming. ")</f>
        <v>The two families come together for fun live movie streaming. </v>
      </c>
      <c r="E61" s="27" t="str">
        <f>IFERROR(__xludf.DUMMYFUNCTION("""COMPUTED_VALUE"""),"incest, perv lifestyle, girl on girl, DDlg, MDlg, oral, anal")</f>
        <v>incest, perv lifestyle, girl on girl, DDlg, MDlg, oral, anal</v>
      </c>
    </row>
    <row r="62">
      <c r="A62" s="52">
        <f>IFERROR(__xludf.DUMMYFUNCTION("""COMPUTED_VALUE"""),367.0)</f>
        <v>367</v>
      </c>
      <c r="B62" s="51">
        <f>IFERROR(__xludf.DUMMYFUNCTION("""COMPUTED_VALUE"""),45138.0)</f>
        <v>45138</v>
      </c>
      <c r="C62" s="27" t="str">
        <f>IFERROR(__xludf.DUMMYFUNCTION("""COMPUTED_VALUE"""),"Babysitter Playtime")</f>
        <v>Babysitter Playtime</v>
      </c>
      <c r="D62" s="27" t="str">
        <f>IFERROR(__xludf.DUMMYFUNCTION("""COMPUTED_VALUE"""),"A babysitter finds out a special game that two siblings play and joins in on the fun.")</f>
        <v>A babysitter finds out a special game that two siblings play and joins in on the fun.</v>
      </c>
      <c r="E62" s="27" t="str">
        <f>IFERROR(__xludf.DUMMYFUNCTION("""COMPUTED_VALUE"""),"incest, oral, creampies, bro/sis")</f>
        <v>incest, oral, creampies, bro/sis</v>
      </c>
    </row>
    <row r="63">
      <c r="A63" s="52">
        <f>IFERROR(__xludf.DUMMYFUNCTION("""COMPUTED_VALUE"""),368.0)</f>
        <v>368</v>
      </c>
      <c r="B63" s="51">
        <f>IFERROR(__xludf.DUMMYFUNCTION("""COMPUTED_VALUE"""),45139.0)</f>
        <v>45139</v>
      </c>
      <c r="C63" s="27" t="str">
        <f>IFERROR(__xludf.DUMMYFUNCTION("""COMPUTED_VALUE"""),"Incest Mommy")</f>
        <v>Incest Mommy</v>
      </c>
      <c r="D63" s="27" t="str">
        <f>IFERROR(__xludf.DUMMYFUNCTION("""COMPUTED_VALUE"""),"A mother wakes up her son, finds a surprise, and shows him what his incestuous future will look like")</f>
        <v>A mother wakes up her son, finds a surprise, and shows him what his incestuous future will look like</v>
      </c>
      <c r="E63" s="27" t="str">
        <f>IFERROR(__xludf.DUMMYFUNCTION("""COMPUTED_VALUE"""),"incest, MDlb, extreme age")</f>
        <v>incest, MDlb, extreme age</v>
      </c>
    </row>
    <row r="64">
      <c r="A64" s="52">
        <f>IFERROR(__xludf.DUMMYFUNCTION("""COMPUTED_VALUE"""),369.0)</f>
        <v>369</v>
      </c>
      <c r="B64" s="51">
        <f>IFERROR(__xludf.DUMMYFUNCTION("""COMPUTED_VALUE"""),45139.0)</f>
        <v>45139</v>
      </c>
      <c r="C64" s="27" t="str">
        <f>IFERROR(__xludf.DUMMYFUNCTION("""COMPUTED_VALUE"""),"Slut Mommy Spies On You")</f>
        <v>Slut Mommy Spies On You</v>
      </c>
      <c r="D64" s="27" t="str">
        <f>IFERROR(__xludf.DUMMYFUNCTION("""COMPUTED_VALUE"""),"A mother catches her son jerking off and takes matters into her own hands. ")</f>
        <v>A mother catches her son jerking off and takes matters into her own hands. </v>
      </c>
      <c r="E64" s="27" t="str">
        <f>IFERROR(__xludf.DUMMYFUNCTION("""COMPUTED_VALUE"""),"incest, MDlb, slutty mommy, oral, oral sfx, mutual masturbation")</f>
        <v>incest, MDlb, slutty mommy, oral, oral sfx, mutual masturbation</v>
      </c>
    </row>
    <row r="65">
      <c r="A65" s="52">
        <f>IFERROR(__xludf.DUMMYFUNCTION("""COMPUTED_VALUE"""),374.0)</f>
        <v>374</v>
      </c>
      <c r="B65" s="51">
        <f>IFERROR(__xludf.DUMMYFUNCTION("""COMPUTED_VALUE"""),45153.0)</f>
        <v>45153</v>
      </c>
      <c r="C65" s="27" t="str">
        <f>IFERROR(__xludf.DUMMYFUNCTION("""COMPUTED_VALUE"""),"Custom Improv: Mom Goes To Therapy")</f>
        <v>Custom Improv: Mom Goes To Therapy</v>
      </c>
      <c r="D65" s="27" t="str">
        <f>IFERROR(__xludf.DUMMYFUNCTION("""COMPUTED_VALUE"""),"A mother confesses to her special relationship with her son to her therapist.")</f>
        <v>A mother confesses to her special relationship with her son to her therapist.</v>
      </c>
      <c r="E65" s="27" t="str">
        <f>IFERROR(__xludf.DUMMYFUNCTION("""COMPUTED_VALUE"""),"MDlb, incest, confession, naughty mommy, breastfeeding")</f>
        <v>MDlb, incest, confession, naughty mommy, breastfeeding</v>
      </c>
    </row>
    <row r="66">
      <c r="A66" s="52">
        <f>IFERROR(__xludf.DUMMYFUNCTION("""COMPUTED_VALUE"""),375.0)</f>
        <v>375</v>
      </c>
      <c r="B66" s="51">
        <f>IFERROR(__xludf.DUMMYFUNCTION("""COMPUTED_VALUE"""),45153.0)</f>
        <v>45153</v>
      </c>
      <c r="C66" s="27" t="str">
        <f>IFERROR(__xludf.DUMMYFUNCTION("""COMPUTED_VALUE"""),"Silent Call: Daughter’s Confession")</f>
        <v>Silent Call: Daughter’s Confession</v>
      </c>
      <c r="D66" s="27" t="str">
        <f>IFERROR(__xludf.DUMMYFUNCTION("""COMPUTED_VALUE"""),"I am a woman that confesses the special love my father showed me years ago.")</f>
        <v>I am a woman that confesses the special love my father showed me years ago.</v>
      </c>
      <c r="E66" s="27" t="str">
        <f>IFERROR(__xludf.DUMMYFUNCTION("""COMPUTED_VALUE"""),"DDlg, incest, good girl turned slutty, confession")</f>
        <v>DDlg, incest, good girl turned slutty, confession</v>
      </c>
    </row>
    <row r="67">
      <c r="A67" s="52">
        <f>IFERROR(__xludf.DUMMYFUNCTION("""COMPUTED_VALUE"""),377.0)</f>
        <v>377</v>
      </c>
      <c r="B67" s="51">
        <f>IFERROR(__xludf.DUMMYFUNCTION("""COMPUTED_VALUE"""),45155.0)</f>
        <v>45155</v>
      </c>
      <c r="C67" s="27" t="str">
        <f>IFERROR(__xludf.DUMMYFUNCTION("""COMPUTED_VALUE"""),"Silent Call: Mom Son Incest")</f>
        <v>Silent Call: Mom Son Incest</v>
      </c>
      <c r="D67" s="27" t="str">
        <f>IFERROR(__xludf.DUMMYFUNCTION("""COMPUTED_VALUE"""),"A mother and a son find out they both have an incest fetish and have sex for the first time")</f>
        <v>A mother and a son find out they both have an incest fetish and have sex for the first time</v>
      </c>
      <c r="E67" s="27" t="str">
        <f>IFERROR(__xludf.DUMMYFUNCTION("""COMPUTED_VALUE"""),"incest, breeding, inbreeding")</f>
        <v>incest, breeding, inbreeding</v>
      </c>
    </row>
    <row r="68">
      <c r="A68" s="52">
        <f>IFERROR(__xludf.DUMMYFUNCTION("""COMPUTED_VALUE"""),385.0)</f>
        <v>385</v>
      </c>
      <c r="B68" s="51">
        <f>IFERROR(__xludf.DUMMYFUNCTION("""COMPUTED_VALUE"""),45166.0)</f>
        <v>45166</v>
      </c>
      <c r="C68" s="27" t="str">
        <f>IFERROR(__xludf.DUMMYFUNCTION("""COMPUTED_VALUE"""),"Improv: Mommy Lover Encouragement")</f>
        <v>Improv: Mommy Lover Encouragement</v>
      </c>
      <c r="D68" s="27" t="str">
        <f>IFERROR(__xludf.DUMMYFUNCTION("""COMPUTED_VALUE"""),"So, you want to fuck your mother? Allow me to encourage you.")</f>
        <v>So, you want to fuck your mother? Allow me to encourage you.</v>
      </c>
      <c r="E68" s="27" t="str">
        <f>IFERROR(__xludf.DUMMYFUNCTION("""COMPUTED_VALUE"""),"incest, mommy/son, accomplice, noncon, encouragement")</f>
        <v>incest, mommy/son, accomplice, noncon, encouragement</v>
      </c>
    </row>
    <row r="69">
      <c r="A69" s="52">
        <f>IFERROR(__xludf.DUMMYFUNCTION("""COMPUTED_VALUE"""),386.0)</f>
        <v>386</v>
      </c>
      <c r="B69" s="51">
        <f>IFERROR(__xludf.DUMMYFUNCTION("""COMPUTED_VALUE"""),45168.0)</f>
        <v>45168</v>
      </c>
      <c r="C69" s="27" t="str">
        <f>IFERROR(__xludf.DUMMYFUNCTION("""COMPUTED_VALUE"""),"Incest Mommy Daughter Convo")</f>
        <v>Incest Mommy Daughter Convo</v>
      </c>
      <c r="D69" s="27" t="str">
        <f>IFERROR(__xludf.DUMMYFUNCTION("""COMPUTED_VALUE"""),"I voice as a mother and daughter in this audio having a conversation on the phone about our incest family growth and future.")</f>
        <v>I voice as a mother and daughter in this audio having a conversation on the phone about our incest family growth and future.</v>
      </c>
      <c r="E69" s="27" t="str">
        <f>IFERROR(__xludf.DUMMYFUNCTION("""COMPUTED_VALUE"""),"incest, MDlb, DDlg, inbreeding")</f>
        <v>incest, MDlb, DDlg, inbreeding</v>
      </c>
    </row>
    <row r="70">
      <c r="A70" s="52">
        <f>IFERROR(__xludf.DUMMYFUNCTION("""COMPUTED_VALUE"""),388.0)</f>
        <v>388</v>
      </c>
      <c r="B70" s="51">
        <f>IFERROR(__xludf.DUMMYFUNCTION("""COMPUTED_VALUE"""),45168.0)</f>
        <v>45168</v>
      </c>
      <c r="C70" s="27" t="str">
        <f>IFERROR(__xludf.DUMMYFUNCTION("""COMPUTED_VALUE"""),"Improv: A Mother’s Nightmare")</f>
        <v>Improv: A Mother’s Nightmare</v>
      </c>
      <c r="D70" s="27" t="str">
        <f>IFERROR(__xludf.DUMMYFUNCTION("""COMPUTED_VALUE"""),"In order to escape a war ridden country, a couple offers refuge by making a family perform a show on camera before they escape.")</f>
        <v>In order to escape a war ridden country, a couple offers refuge by making a family perform a show on camera before they escape.</v>
      </c>
      <c r="E70" s="27" t="str">
        <f>IFERROR(__xludf.DUMMYFUNCTION("""COMPUTED_VALUE"""),"confessional style, incest, forced incest, DDlg, MDlb, siblings")</f>
        <v>confessional style, incest, forced incest, DDlg, MDlb, siblings</v>
      </c>
    </row>
    <row r="71">
      <c r="A71" s="52">
        <f>IFERROR(__xludf.DUMMYFUNCTION("""COMPUTED_VALUE"""),399.0)</f>
        <v>399</v>
      </c>
      <c r="B71" s="51">
        <f>IFERROR(__xludf.DUMMYFUNCTION("""COMPUTED_VALUE"""),45182.0)</f>
        <v>45182</v>
      </c>
      <c r="C71" s="27" t="str">
        <f>IFERROR(__xludf.DUMMYFUNCTION("""COMPUTED_VALUE"""),"Custom: A Father’s Proposition")</f>
        <v>Custom: A Father’s Proposition</v>
      </c>
      <c r="D71" s="27" t="str">
        <f>IFERROR(__xludf.DUMMYFUNCTION("""COMPUTED_VALUE"""),"I’m a bank manager. The listener is a single father who’s behind on his mortgage payments. I offer him a way to get out of his financial struggle that will benefit me as he has the perfect fuck toy.")</f>
        <v>I’m a bank manager. The listener is a single father who’s behind on his mortgage payments. I offer him a way to get out of his financial struggle that will benefit me as he has the perfect fuck toy.</v>
      </c>
      <c r="E71" s="27" t="str">
        <f>IFERROR(__xludf.DUMMYFUNCTION("""COMPUTED_VALUE"""),"perv woman, lesbian perv, aggressive milf, DDlg, forced incest, sadism, slapping, bj sfx, squirting, face sitting, spitting, anal, facial, ass to mouth")</f>
        <v>perv woman, lesbian perv, aggressive milf, DDlg, forced incest, sadism, slapping, bj sfx, squirting, face sitting, spitting, anal, facial, ass to mouth</v>
      </c>
    </row>
    <row r="72">
      <c r="A72" s="52">
        <f>IFERROR(__xludf.DUMMYFUNCTION("""COMPUTED_VALUE"""),418.0)</f>
        <v>418</v>
      </c>
      <c r="B72" s="51">
        <f>IFERROR(__xludf.DUMMYFUNCTION("""COMPUTED_VALUE"""),45206.0)</f>
        <v>45206</v>
      </c>
      <c r="C72" s="27" t="str">
        <f>IFERROR(__xludf.DUMMYFUNCTION("""COMPUTED_VALUE"""),"Improv: Webcam Incest Whore")</f>
        <v>Improv: Webcam Incest Whore</v>
      </c>
      <c r="D72" s="27" t="str">
        <f>IFERROR(__xludf.DUMMYFUNCTION("""COMPUTED_VALUE"""),"A woman ends up accepting cash payment for doing forbidden incest acts on camera.")</f>
        <v>A woman ends up accepting cash payment for doing forbidden incest acts on camera.</v>
      </c>
      <c r="E72" s="27" t="str">
        <f>IFERROR(__xludf.DUMMYFUNCTION("""COMPUTED_VALUE"""),"incest, MDlb, DDlg, group sex, bad mom")</f>
        <v>incest, MDlb, DDlg, group sex, bad mom</v>
      </c>
    </row>
    <row r="73">
      <c r="A73" s="52">
        <f>IFERROR(__xludf.DUMMYFUNCTION("""COMPUTED_VALUE"""),428.0)</f>
        <v>428</v>
      </c>
      <c r="B73" s="51">
        <f>IFERROR(__xludf.DUMMYFUNCTION("""COMPUTED_VALUE"""),45220.0)</f>
        <v>45220</v>
      </c>
      <c r="C73" s="27" t="str">
        <f>IFERROR(__xludf.DUMMYFUNCTION("""COMPUTED_VALUE"""),"Custom: Debt Collector")</f>
        <v>Custom: Debt Collector</v>
      </c>
      <c r="D73" s="27" t="str">
        <f>IFERROR(__xludf.DUMMYFUNCTION("""COMPUTED_VALUE"""),"A widowed mother owes me money and show up at her door and take what I want as a punishment.")</f>
        <v>A widowed mother owes me money and show up at her door and take what I want as a punishment.</v>
      </c>
      <c r="E73" s="27" t="str">
        <f>IFERROR(__xludf.DUMMYFUNCTION("""COMPUTED_VALUE"""),"forced incest, violence, noncon, futa, snuff")</f>
        <v>forced incest, violence, noncon, futa, snuff</v>
      </c>
    </row>
    <row r="74">
      <c r="A74" s="52">
        <f>IFERROR(__xludf.DUMMYFUNCTION("""COMPUTED_VALUE"""),432.0)</f>
        <v>432</v>
      </c>
      <c r="B74" s="51">
        <f>IFERROR(__xludf.DUMMYFUNCTION("""COMPUTED_VALUE"""),45222.0)</f>
        <v>45222</v>
      </c>
      <c r="C74" s="27" t="str">
        <f>IFERROR(__xludf.DUMMYFUNCTION("""COMPUTED_VALUE"""),"Improv: Mother Offers Herself")</f>
        <v>Improv: Mother Offers Herself</v>
      </c>
      <c r="D74" s="27" t="str">
        <f>IFERROR(__xludf.DUMMYFUNCTION("""COMPUTED_VALUE"""),"I’m your wife’s sister and you put me in a predicament that turns me into a perverted slut.")</f>
        <v>I’m your wife’s sister and you put me in a predicament that turns me into a perverted slut.</v>
      </c>
      <c r="E74" s="27" t="str">
        <f>IFERROR(__xludf.DUMMYFUNCTION("""COMPUTED_VALUE"""),"blackmailed, MDlg, female moans, face sitting, uncle/niece, incest")</f>
        <v>blackmailed, MDlg, female moans, face sitting, uncle/niece, incest</v>
      </c>
    </row>
    <row r="75">
      <c r="A75" s="52">
        <f>IFERROR(__xludf.DUMMYFUNCTION("""COMPUTED_VALUE"""),436.0)</f>
        <v>436</v>
      </c>
      <c r="B75" s="51">
        <f>IFERROR(__xludf.DUMMYFUNCTION("""COMPUTED_VALUE"""),45224.0)</f>
        <v>45224</v>
      </c>
      <c r="C75" s="27" t="str">
        <f>IFERROR(__xludf.DUMMYFUNCTION("""COMPUTED_VALUE"""),"Improv: Mom Encourages Brothers")</f>
        <v>Improv: Mom Encourages Brothers</v>
      </c>
      <c r="D75" s="27" t="str">
        <f>IFERROR(__xludf.DUMMYFUNCTION("""COMPUTED_VALUE"""),"I overhear my boys using the f slur as an insult and give them a hands on lesson.")</f>
        <v>I overhear my boys using the f slur as an insult and give them a hands on lesson.</v>
      </c>
      <c r="E75" s="27" t="str">
        <f>IFERROR(__xludf.DUMMYFUNCTION("""COMPUTED_VALUE"""),"MDlb, incest, brother/brother, encouraged bu, DDlb, handjob, oral, 69")</f>
        <v>MDlb, incest, brother/brother, encouraged bu, DDlb, handjob, oral, 69</v>
      </c>
    </row>
    <row r="76">
      <c r="A76" s="52">
        <f>IFERROR(__xludf.DUMMYFUNCTION("""COMPUTED_VALUE"""),440.0)</f>
        <v>440</v>
      </c>
      <c r="B76" s="51">
        <f>IFERROR(__xludf.DUMMYFUNCTION("""COMPUTED_VALUE"""),45226.0)</f>
        <v>45226</v>
      </c>
      <c r="C76" s="27" t="str">
        <f>IFERROR(__xludf.DUMMYFUNCTION("""COMPUTED_VALUE"""),"Custom: Underground Mommy Club (Extreme AF)")</f>
        <v>Custom: Underground Mommy Club (Extreme AF)</v>
      </c>
      <c r="D76" s="27" t="str">
        <f>IFERROR(__xludf.DUMMYFUNCTION("""COMPUTED_VALUE"""),"A well known pornstar explains how she got into her extreme kink and what she’s up to nowadays. ")</f>
        <v>A well known pornstar explains how she got into her extreme kink and what she’s up to nowadays. </v>
      </c>
      <c r="E76" s="27" t="str">
        <f>IFERROR(__xludf.DUMMYFUNCTION("""COMPUTED_VALUE"""),"extreme ap (super low number), $nuff, necr0, incest")</f>
        <v>extreme ap (super low number), $nuff, necr0, incest</v>
      </c>
    </row>
    <row r="77">
      <c r="A77" s="52">
        <f>IFERROR(__xludf.DUMMYFUNCTION("""COMPUTED_VALUE"""),441.0)</f>
        <v>441</v>
      </c>
      <c r="B77" s="51">
        <f>IFERROR(__xludf.DUMMYFUNCTION("""COMPUTED_VALUE"""),45231.0)</f>
        <v>45231</v>
      </c>
      <c r="C77" s="27" t="str">
        <f>IFERROR(__xludf.DUMMYFUNCTION("""COMPUTED_VALUE"""),"Custom: Daddy's Bride")</f>
        <v>Custom: Daddy's Bride</v>
      </c>
      <c r="D77" s="27" t="str">
        <f>IFERROR(__xludf.DUMMYFUNCTION("""COMPUTED_VALUE"""),"Daddy marries his daughter with Mommy's encouragement and cements their bond with  breeding on their honeymoon.")</f>
        <v>Daddy marries his daughter with Mommy's encouragement and cements their bond with  breeding on their honeymoon.</v>
      </c>
      <c r="E77" s="27" t="str">
        <f>IFERROR(__xludf.DUMMYFUNCTION("""COMPUTED_VALUE"""),"DDlg, accomplice, breeding, incest")</f>
        <v>DDlg, accomplice, breeding, incest</v>
      </c>
    </row>
    <row r="78">
      <c r="A78" s="52">
        <f>IFERROR(__xludf.DUMMYFUNCTION("""COMPUTED_VALUE"""),442.0)</f>
        <v>442</v>
      </c>
      <c r="B78" s="51">
        <f>IFERROR(__xludf.DUMMYFUNCTION("""COMPUTED_VALUE"""),45231.0)</f>
        <v>45231</v>
      </c>
      <c r="C78" s="27" t="str">
        <f>IFERROR(__xludf.DUMMYFUNCTION("""COMPUTED_VALUE"""),"Improv: Mommy’s Gay Boys")</f>
        <v>Improv: Mommy’s Gay Boys</v>
      </c>
      <c r="D78" s="27" t="str">
        <f>IFERROR(__xludf.DUMMYFUNCTION("""COMPUTED_VALUE"""),"As a treat for Mother’s Day, Mommy demands a show and pegging fest with Daddy and her sons. ")</f>
        <v>As a treat for Mother’s Day, Mommy demands a show and pegging fest with Daddy and her sons. </v>
      </c>
      <c r="E78" s="27" t="str">
        <f>IFERROR(__xludf.DUMMYFUNCTION("""COMPUTED_VALUE"""),"MDlb, encouraged bi, pegging, rimming, incest")</f>
        <v>MDlb, encouraged bi, pegging, rimming, incest</v>
      </c>
    </row>
    <row r="79">
      <c r="A79" s="52">
        <f>IFERROR(__xludf.DUMMYFUNCTION("""COMPUTED_VALUE"""),445.0)</f>
        <v>445</v>
      </c>
      <c r="B79" s="51">
        <f>IFERROR(__xludf.DUMMYFUNCTION("""COMPUTED_VALUE"""),45232.0)</f>
        <v>45232</v>
      </c>
      <c r="C79" s="27" t="str">
        <f>IFERROR(__xludf.DUMMYFUNCTION("""COMPUTED_VALUE"""),"Improv: You Might Have a Mommy Kink If… ")</f>
        <v>Improv: You Might Have a Mommy Kink If… </v>
      </c>
      <c r="D79" s="27" t="str">
        <f>IFERROR(__xludf.DUMMYFUNCTION("""COMPUTED_VALUE"""),"Wondering if you have a Mommy Domme kink? You might know for sure after this.")</f>
        <v>Wondering if you have a Mommy Domme kink? You might know for sure after this.</v>
      </c>
      <c r="E79" s="27" t="str">
        <f>IFERROR(__xludf.DUMMYFUNCTION("""COMPUTED_VALUE"""),"MDlb, incest-ish, femdom")</f>
        <v>MDlb, incest-ish, femdom</v>
      </c>
    </row>
    <row r="80">
      <c r="A80" s="52">
        <f>IFERROR(__xludf.DUMMYFUNCTION("""COMPUTED_VALUE"""),446.0)</f>
        <v>446</v>
      </c>
      <c r="B80" s="51">
        <f>IFERROR(__xludf.DUMMYFUNCTION("""COMPUTED_VALUE"""),45232.0)</f>
        <v>45232</v>
      </c>
      <c r="C80" s="27" t="str">
        <f>IFERROR(__xludf.DUMMYFUNCTION("""COMPUTED_VALUE"""),"Custom: Underground Mommy Club Part 2")</f>
        <v>Custom: Underground Mommy Club Part 2</v>
      </c>
      <c r="D80" s="27" t="str">
        <f>IFERROR(__xludf.DUMMYFUNCTION("""COMPUTED_VALUE"""),"She’s back but this time, you get to listen in on a live filming involving her pregnant sister. ")</f>
        <v>She’s back but this time, you get to listen in on a live filming involving her pregnant sister. </v>
      </c>
      <c r="E80" s="27" t="str">
        <f>IFERROR(__xludf.DUMMYFUNCTION("""COMPUTED_VALUE"""),"Extreme, incest, $nuff, necr0, crying sfx, female moaning, face sitting, noncon, extreme ap number")</f>
        <v>Extreme, incest, $nuff, necr0, crying sfx, female moaning, face sitting, noncon, extreme ap number</v>
      </c>
    </row>
    <row r="81">
      <c r="A81" s="52">
        <f>IFERROR(__xludf.DUMMYFUNCTION("""COMPUTED_VALUE"""),449.0)</f>
        <v>449</v>
      </c>
      <c r="B81" s="51">
        <f>IFERROR(__xludf.DUMMYFUNCTION("""COMPUTED_VALUE"""),45236.0)</f>
        <v>45236</v>
      </c>
      <c r="C81" s="27" t="str">
        <f>IFERROR(__xludf.DUMMYFUNCTION("""COMPUTED_VALUE"""),"Improv: Sleeping Mommy Fuck")</f>
        <v>Improv: Sleeping Mommy Fuck</v>
      </c>
      <c r="D81" s="27" t="str">
        <f>IFERROR(__xludf.DUMMYFUNCTION("""COMPUTED_VALUE"""),"My sweet boy crawls into bed in the middle of the night and I commit to appearing I’m asleep…even whenever he start touching and fucking.")</f>
        <v>My sweet boy crawls into bed in the middle of the night and I commit to appearing I’m asleep…even whenever he start touching and fucking.</v>
      </c>
      <c r="E81" s="27" t="str">
        <f>IFERROR(__xludf.DUMMYFUNCTION("""COMPUTED_VALUE"""),"MDlb, incest")</f>
        <v>MDlb, incest</v>
      </c>
    </row>
    <row r="82">
      <c r="A82" s="52">
        <f>IFERROR(__xludf.DUMMYFUNCTION("""COMPUTED_VALUE"""),455.0)</f>
        <v>455</v>
      </c>
      <c r="B82" s="51">
        <f>IFERROR(__xludf.DUMMYFUNCTION("""COMPUTED_VALUE"""),45244.0)</f>
        <v>45244</v>
      </c>
      <c r="C82" s="27" t="str">
        <f>IFERROR(__xludf.DUMMYFUNCTION("""COMPUTED_VALUE"""),"Custom: Mom Turns You Into a Perv Daddy")</f>
        <v>Custom: Mom Turns You Into a Perv Daddy</v>
      </c>
      <c r="D82" s="27" t="str">
        <f>IFERROR(__xludf.DUMMYFUNCTION("""COMPUTED_VALUE"""),"I’m your mom and I think we should have a baby so I can watch you become a naughty daddy. ")</f>
        <v>I’m your mom and I think we should have a baby so I can watch you become a naughty daddy. </v>
      </c>
      <c r="E82" s="27" t="str">
        <f>IFERROR(__xludf.DUMMYFUNCTION("""COMPUTED_VALUE"""),"MDlb, incest, pervert encouragement, oral sfx, breeding")</f>
        <v>MDlb, incest, pervert encouragement, oral sfx, breeding</v>
      </c>
    </row>
    <row r="83">
      <c r="A83" s="52">
        <f>IFERROR(__xludf.DUMMYFUNCTION("""COMPUTED_VALUE"""),459.0)</f>
        <v>459</v>
      </c>
      <c r="B83" s="51">
        <f>IFERROR(__xludf.DUMMYFUNCTION("""COMPUTED_VALUE"""),45247.0)</f>
        <v>45247</v>
      </c>
      <c r="C83" s="27" t="str">
        <f>IFERROR(__xludf.DUMMYFUNCTION("""COMPUTED_VALUE"""),"Improv: Whore Mommy’s Whore")</f>
        <v>Improv: Whore Mommy’s Whore</v>
      </c>
      <c r="D83" s="27" t="str">
        <f>IFERROR(__xludf.DUMMYFUNCTION("""COMPUTED_VALUE"""),"Your mom is the town whore and she teaches you about sex, her job, and turns you out as well. ")</f>
        <v>Your mom is the town whore and she teaches you about sex, her job, and turns you out as well. </v>
      </c>
      <c r="E83" s="27" t="str">
        <f>IFERROR(__xludf.DUMMYFUNCTION("""COMPUTED_VALUE"""),"prostitute mommy, incest, forced bi, light humiliation, gaslighting mommy, MDlb, gangbang")</f>
        <v>prostitute mommy, incest, forced bi, light humiliation, gaslighting mommy, MDlb, gangbang</v>
      </c>
    </row>
    <row r="84">
      <c r="A84" s="52">
        <f>IFERROR(__xludf.DUMMYFUNCTION("""COMPUTED_VALUE"""),460.0)</f>
        <v>460</v>
      </c>
      <c r="B84" s="51">
        <f>IFERROR(__xludf.DUMMYFUNCTION("""COMPUTED_VALUE"""),45247.0)</f>
        <v>45247</v>
      </c>
      <c r="C84" s="27" t="str">
        <f>IFERROR(__xludf.DUMMYFUNCTION("""COMPUTED_VALUE"""),"Silent Call: Mommy Accomplice Corruption")</f>
        <v>Silent Call: Mommy Accomplice Corruption</v>
      </c>
      <c r="D84" s="27" t="str">
        <f>IFERROR(__xludf.DUMMYFUNCTION("""COMPUTED_VALUE"""),"Your mom pulls out the pervert inside of you. ")</f>
        <v>Your mom pulls out the pervert inside of you. </v>
      </c>
      <c r="E84" s="27" t="str">
        <f>IFERROR(__xludf.DUMMYFUNCTION("""COMPUTED_VALUE"""),"incest, pervert encouragement, accomplice")</f>
        <v>incest, pervert encouragement, accomplice</v>
      </c>
    </row>
    <row r="85">
      <c r="A85" s="52">
        <f>IFERROR(__xludf.DUMMYFUNCTION("""COMPUTED_VALUE"""),461.0)</f>
        <v>461</v>
      </c>
      <c r="B85" s="51">
        <f>IFERROR(__xludf.DUMMYFUNCTION("""COMPUTED_VALUE"""),45250.0)</f>
        <v>45250</v>
      </c>
      <c r="C85" s="27" t="str">
        <f>IFERROR(__xludf.DUMMYFUNCTION("""COMPUTED_VALUE"""),"Custom: Loving Mother Gets Interrupted")</f>
        <v>Custom: Loving Mother Gets Interrupted</v>
      </c>
      <c r="D85" s="27" t="str">
        <f>IFERROR(__xludf.DUMMYFUNCTION("""COMPUTED_VALUE"""),"The listener is my son and we are lovers. My daughter is sleeping in the bed whenever he wakes me up for sex. We decide to continue with her sleeping, but she wakes up, acts super annoying and I put her in her place  ")</f>
        <v>The listener is my son and we are lovers. My daughter is sleeping in the bed whenever he wakes me up for sex. We decide to continue with her sleeping, but she wakes up, acts super annoying and I put her in her place  </v>
      </c>
      <c r="E85" s="27" t="str">
        <f>IFERROR(__xludf.DUMMYFUNCTION("""COMPUTED_VALUE"""),"Extreme, incest, $nuff, necr0, crying sfx, female moaning, face sitting, noncon, extreme ap number")</f>
        <v>Extreme, incest, $nuff, necr0, crying sfx, female moaning, face sitting, noncon, extreme ap number</v>
      </c>
    </row>
    <row r="86">
      <c r="A86" s="52">
        <f>IFERROR(__xludf.DUMMYFUNCTION("""COMPUTED_VALUE"""),462.0)</f>
        <v>462</v>
      </c>
      <c r="B86" s="51">
        <f>IFERROR(__xludf.DUMMYFUNCTION("""COMPUTED_VALUE"""),45251.0)</f>
        <v>45251</v>
      </c>
      <c r="C86" s="27" t="str">
        <f>IFERROR(__xludf.DUMMYFUNCTION("""COMPUTED_VALUE"""),"Improv: Whore Mommy Makes You a Man")</f>
        <v>Improv: Whore Mommy Makes You a Man</v>
      </c>
      <c r="D86" s="27" t="str">
        <f>IFERROR(__xludf.DUMMYFUNCTION("""COMPUTED_VALUE"""),"You overhear and spy on your mother getting railed. She invites you after he leaves and teaches you about sex and the roles that men and women play…in her whore-ish perspective ")</f>
        <v>You overhear and spy on your mother getting railed. She invites you after he leaves and teaches you about sex and the roles that men and women play…in her whore-ish perspective </v>
      </c>
      <c r="E86" s="27" t="str">
        <f>IFERROR(__xludf.DUMMYFUNCTION("""COMPUTED_VALUE"""),"incest, MDlb, misogyny, noncon, corrupting Mommy, handjob, family gangbang")</f>
        <v>incest, MDlb, misogyny, noncon, corrupting Mommy, handjob, family gangbang</v>
      </c>
    </row>
    <row r="87">
      <c r="A87" s="52">
        <f>IFERROR(__xludf.DUMMYFUNCTION("""COMPUTED_VALUE"""),463.0)</f>
        <v>463</v>
      </c>
      <c r="B87" s="51">
        <f>IFERROR(__xludf.DUMMYFUNCTION("""COMPUTED_VALUE"""),45252.0)</f>
        <v>45252</v>
      </c>
      <c r="C87" s="27" t="str">
        <f>IFERROR(__xludf.DUMMYFUNCTION("""COMPUTED_VALUE"""),"Improv: Public Perving")</f>
        <v>Improv: Public Perving</v>
      </c>
      <c r="D87" s="27" t="str">
        <f>IFERROR(__xludf.DUMMYFUNCTION("""COMPUTED_VALUE"""),"Me and you are sitting inside of mall, people watching, while I set up naughty, depraved scenarios to tease and arouse you. ")</f>
        <v>Me and you are sitting inside of mall, people watching, while I set up naughty, depraved scenarios to tease and arouse you. </v>
      </c>
      <c r="E87" s="27" t="str">
        <f>IFERROR(__xludf.DUMMYFUNCTION("""COMPUTED_VALUE"""),"public handjob, incest, DDlg, MDlb")</f>
        <v>public handjob, incest, DDlg, MDlb</v>
      </c>
    </row>
    <row r="88">
      <c r="A88" s="52">
        <f>IFERROR(__xludf.DUMMYFUNCTION("""COMPUTED_VALUE"""),470.0)</f>
        <v>470</v>
      </c>
      <c r="B88" s="51">
        <f>IFERROR(__xludf.DUMMYFUNCTION("""COMPUTED_VALUE"""),45626.0)</f>
        <v>45626</v>
      </c>
      <c r="C88" s="27" t="str">
        <f>IFERROR(__xludf.DUMMYFUNCTION("""COMPUTED_VALUE""")," Improv: DDlg Brothel Request")</f>
        <v> Improv: DDlg Brothel Request</v>
      </c>
      <c r="D88" s="27" t="str">
        <f>IFERROR(__xludf.DUMMYFUNCTION("""COMPUTED_VALUE"""),"You request a special request through Madame Bea’s Dollhouse brothel. ")</f>
        <v>You request a special request through Madame Bea’s Dollhouse brothel. </v>
      </c>
      <c r="E88" s="27" t="str">
        <f>IFERROR(__xludf.DUMMYFUNCTION("""COMPUTED_VALUE"""),"incest, DDlg, breeding")</f>
        <v>incest, DDlg, breeding</v>
      </c>
    </row>
    <row r="89">
      <c r="A89" s="52">
        <f>IFERROR(__xludf.DUMMYFUNCTION("""COMPUTED_VALUE"""),471.0)</f>
        <v>471</v>
      </c>
      <c r="B89" s="51">
        <f>IFERROR(__xludf.DUMMYFUNCTION("""COMPUTED_VALUE"""),45630.0)</f>
        <v>45630</v>
      </c>
      <c r="C89" s="27" t="str">
        <f>IFERROR(__xludf.DUMMYFUNCTION("""COMPUTED_VALUE"""),"Custom: PMC Overload")</f>
        <v>Custom: PMC Overload</v>
      </c>
      <c r="D89" s="27" t="str">
        <f>IFERROR(__xludf.DUMMYFUNCTION("""COMPUTED_VALUE"""),"Dr Beatrix is back and is settled into her program for sexual deviants. One of my patients ends up having a dangerous overload, spewing spunk everywhere, overloaded with pleasure and mindfucks. I enter his mind and work out the kinks. ")</f>
        <v>Dr Beatrix is back and is settled into her program for sexual deviants. One of my patients ends up having a dangerous overload, spewing spunk everywhere, overloaded with pleasure and mindfucks. I enter his mind and work out the kinks. </v>
      </c>
      <c r="E89" s="27" t="str">
        <f>IFERROR(__xludf.DUMMYFUNCTION("""COMPUTED_VALUE"""),"hypnotic, incest, DDlg, breeding, mindfuck, sfx")</f>
        <v>hypnotic, incest, DDlg, breeding, mindfuck, sfx</v>
      </c>
    </row>
    <row r="90">
      <c r="A90" s="52">
        <f>IFERROR(__xludf.DUMMYFUNCTION("""COMPUTED_VALUE"""),479.0)</f>
        <v>479</v>
      </c>
      <c r="B90" s="51">
        <f>IFERROR(__xludf.DUMMYFUNCTION("""COMPUTED_VALUE"""),45642.0)</f>
        <v>45642</v>
      </c>
      <c r="C90" s="27" t="str">
        <f>IFERROR(__xludf.DUMMYFUNCTION("""COMPUTED_VALUE"""),"Script Fill: Most Shocking Find")</f>
        <v>Script Fill: Most Shocking Find</v>
      </c>
      <c r="D90" s="27" t="str">
        <f>IFERROR(__xludf.DUMMYFUNCTION("""COMPUTED_VALUE"""),"The listener is invited over as I reveal the secret journals of my own father. ")</f>
        <v>The listener is invited over as I reveal the secret journals of my own father. </v>
      </c>
      <c r="E90" s="27" t="str">
        <f>IFERROR(__xludf.DUMMYFUNCTION("""COMPUTED_VALUE"""),"DDlg, incest")</f>
        <v>DDlg, incest</v>
      </c>
    </row>
    <row r="91">
      <c r="A91" s="52">
        <f>IFERROR(__xludf.DUMMYFUNCTION("""COMPUTED_VALUE"""),481.0)</f>
        <v>481</v>
      </c>
      <c r="B91" s="51">
        <f>IFERROR(__xludf.DUMMYFUNCTION("""COMPUTED_VALUE"""),45645.0)</f>
        <v>45645</v>
      </c>
      <c r="C91" s="27" t="str">
        <f>IFERROR(__xludf.DUMMYFUNCTION("""COMPUTED_VALUE"""),"Custom: The Female Perv")</f>
        <v>Custom: The Female Perv</v>
      </c>
      <c r="D91" s="27" t="str">
        <f>IFERROR(__xludf.DUMMYFUNCTION("""COMPUTED_VALUE"""),"Unpacking and unfolding the mind, actions, and motivations of female pervs. ")</f>
        <v>Unpacking and unfolding the mind, actions, and motivations of female pervs. </v>
      </c>
      <c r="E91" s="27" t="str">
        <f>IFERROR(__xludf.DUMMYFUNCTION("""COMPUTED_VALUE""")," female perv, noncon, teacher, babysitter, incest")</f>
        <v> female perv, noncon, teacher, babysitter, incest</v>
      </c>
    </row>
    <row r="92">
      <c r="A92" s="52">
        <f>IFERROR(__xludf.DUMMYFUNCTION("""COMPUTED_VALUE"""),486.0)</f>
        <v>486</v>
      </c>
      <c r="B92" s="51">
        <f>IFERROR(__xludf.DUMMYFUNCTION("""COMPUTED_VALUE"""),45647.0)</f>
        <v>45647</v>
      </c>
      <c r="C92" s="27" t="str">
        <f>IFERROR(__xludf.DUMMYFUNCTION("""COMPUTED_VALUE"""),"Improv: Daughter Lessons")</f>
        <v>Improv: Daughter Lessons</v>
      </c>
      <c r="D92" s="27" t="str">
        <f>IFERROR(__xludf.DUMMYFUNCTION("""COMPUTED_VALUE"""),"Your accomplice’s homeschool lessons for your daughters.")</f>
        <v>Your accomplice’s homeschool lessons for your daughters.</v>
      </c>
      <c r="E92" s="27" t="str">
        <f>IFERROR(__xludf.DUMMYFUNCTION("""COMPUTED_VALUE"""),"DDlg, accomplice, incest, inbreeding")</f>
        <v>DDlg, accomplice, incest, inbreeding</v>
      </c>
    </row>
    <row r="93">
      <c r="A93" s="52">
        <f>IFERROR(__xludf.DUMMYFUNCTION("""COMPUTED_VALUE"""),491.0)</f>
        <v>491</v>
      </c>
      <c r="B93" s="51">
        <f>IFERROR(__xludf.DUMMYFUNCTION("""COMPUTED_VALUE"""),45655.0)</f>
        <v>45655</v>
      </c>
      <c r="C93" s="27" t="str">
        <f>IFERROR(__xludf.DUMMYFUNCTION("""COMPUTED_VALUE"""),"Custom: Holiday Family Dinner")</f>
        <v>Custom: Holiday Family Dinner</v>
      </c>
      <c r="D93" s="27" t="str">
        <f>IFERROR(__xludf.DUMMYFUNCTION("""COMPUTED_VALUE"""),"A family has a very interesting way of having a holiday dinner. ")</f>
        <v>A family has a very interesting way of having a holiday dinner. </v>
      </c>
      <c r="E93" s="27" t="str">
        <f>IFERROR(__xludf.DUMMYFUNCTION("""COMPUTED_VALUE"""),"incest, beast, group sex")</f>
        <v>incest, beast, group sex</v>
      </c>
    </row>
    <row r="94">
      <c r="A94" s="52">
        <f>IFERROR(__xludf.DUMMYFUNCTION("""COMPUTED_VALUE"""),492.0)</f>
        <v>492</v>
      </c>
      <c r="B94" s="51">
        <f>IFERROR(__xludf.DUMMYFUNCTION("""COMPUTED_VALUE"""),45655.0)</f>
        <v>45655</v>
      </c>
      <c r="C94" s="27" t="str">
        <f>IFERROR(__xludf.DUMMYFUNCTION("""COMPUTED_VALUE"""),"Custom: Magical Miss Vale Incest Show")</f>
        <v>Custom: Magical Miss Vale Incest Show</v>
      </c>
      <c r="D94" s="27" t="str">
        <f>IFERROR(__xludf.DUMMYFUNCTION("""COMPUTED_VALUE"""),"I am magic sorceress and a father comes across my tent while visiting a carnival. I reveal his truest desire and make it come alive in a magical realm. ")</f>
        <v>I am magic sorceress and a father comes across my tent while visiting a carnival. I reveal his truest desire and make it come alive in a magical realm. </v>
      </c>
      <c r="E94" s="27" t="str">
        <f>IFERROR(__xludf.DUMMYFUNCTION("""COMPUTED_VALUE"""),"DDlg, magic, sfx, incest, breeding, cum countdown")</f>
        <v>DDlg, magic, sfx, incest, breeding, cum countdown</v>
      </c>
    </row>
    <row r="95">
      <c r="A95" s="52">
        <f>IFERROR(__xludf.DUMMYFUNCTION("""COMPUTED_VALUE"""),504.0)</f>
        <v>504</v>
      </c>
      <c r="B95" s="51">
        <f>IFERROR(__xludf.DUMMYFUNCTION("""COMPUTED_VALUE"""),45300.0)</f>
        <v>45300</v>
      </c>
      <c r="C95" s="27" t="str">
        <f>IFERROR(__xludf.DUMMYFUNCTION("""COMPUTED_VALUE"""),"Script Fill: First Communion ")</f>
        <v>Script Fill: First Communion </v>
      </c>
      <c r="D95" s="27" t="str">
        <f>IFERROR(__xludf.DUMMYFUNCTION("""COMPUTED_VALUE"""),"A Catholic priest’s wife and son have an incestuous affair.  ")</f>
        <v>A Catholic priest’s wife and son have an incestuous affair.  </v>
      </c>
      <c r="E95" s="27" t="str">
        <f>IFERROR(__xludf.DUMMYFUNCTION("""COMPUTED_VALUE""")," MDlb, blasphemy, incest")</f>
        <v> MDlb, blasphemy, incest</v>
      </c>
    </row>
    <row r="96">
      <c r="A96" s="52">
        <f>IFERROR(__xludf.DUMMYFUNCTION("""COMPUTED_VALUE"""),505.0)</f>
        <v>505</v>
      </c>
      <c r="B96" s="51">
        <f>IFERROR(__xludf.DUMMYFUNCTION("""COMPUTED_VALUE"""),45300.0)</f>
        <v>45300</v>
      </c>
      <c r="C96" s="27" t="str">
        <f>IFERROR(__xludf.DUMMYFUNCTION("""COMPUTED_VALUE""")," Improv: Prostitute’s Trauma Pt 2")</f>
        <v> Improv: Prostitute’s Trauma Pt 2</v>
      </c>
      <c r="D96" s="27" t="str">
        <f>IFERROR(__xludf.DUMMYFUNCTION("""COMPUTED_VALUE"""),"Prostitute mommy has to make a choice whenever her daughter comes into the room.  ")</f>
        <v>Prostitute mommy has to make a choice whenever her daughter comes into the room.  </v>
      </c>
      <c r="E96" s="27" t="str">
        <f>IFERROR(__xludf.DUMMYFUNCTION("""COMPUTED_VALUE"""),"noncon, DDlg, forced incest, creampie cleanup")</f>
        <v>noncon, DDlg, forced incest, creampie cleanup</v>
      </c>
    </row>
    <row r="97">
      <c r="A97" s="52">
        <f>IFERROR(__xludf.DUMMYFUNCTION("""COMPUTED_VALUE"""),506.0)</f>
        <v>506</v>
      </c>
      <c r="B97" s="51">
        <f>IFERROR(__xludf.DUMMYFUNCTION("""COMPUTED_VALUE"""),45301.0)</f>
        <v>45301</v>
      </c>
      <c r="C97" s="27" t="str">
        <f>IFERROR(__xludf.DUMMYFUNCTION("""COMPUTED_VALUE"""),"Silent Call: Mommy’s Pervert Encouragement")</f>
        <v>Silent Call: Mommy’s Pervert Encouragement</v>
      </c>
      <c r="D97" s="27" t="str">
        <f>IFERROR(__xludf.DUMMYFUNCTION("""COMPUTED_VALUE"""),"A confessional type of story about a mother who not only begins an incestuous love affair with her son, but also encourages his secret perv life.  ")</f>
        <v>A confessional type of story about a mother who not only begins an incestuous love affair with her son, but also encourages his secret perv life.  </v>
      </c>
      <c r="E97" s="27" t="str">
        <f>IFERROR(__xludf.DUMMYFUNCTION("""COMPUTED_VALUE"""),"MDlb, incest, pervert encouragement")</f>
        <v>MDlb, incest, pervert encouragement</v>
      </c>
    </row>
    <row r="98">
      <c r="A98" s="52">
        <f>IFERROR(__xludf.DUMMYFUNCTION("""COMPUTED_VALUE"""),519.0)</f>
        <v>519</v>
      </c>
      <c r="B98" s="51">
        <f>IFERROR(__xludf.DUMMYFUNCTION("""COMPUTED_VALUE"""),45320.0)</f>
        <v>45320</v>
      </c>
      <c r="C98" s="27" t="str">
        <f>IFERROR(__xludf.DUMMYFUNCTION("""COMPUTED_VALUE"""),"Improv: DDlg Pervert Sympathy")</f>
        <v>Improv: DDlg Pervert Sympathy</v>
      </c>
      <c r="D98" s="27" t="str">
        <f>IFERROR(__xludf.DUMMYFUNCTION("""COMPUTED_VALUE"""),"Another pervert affirmation file with added visualizations ")</f>
        <v>Another pervert affirmation file with added visualizations </v>
      </c>
      <c r="E98" s="27" t="str">
        <f>IFERROR(__xludf.DUMMYFUNCTION("""COMPUTED_VALUE"""),"DDlg, pervert encouragement, incest")</f>
        <v>DDlg, pervert encouragement, incest</v>
      </c>
    </row>
    <row r="99">
      <c r="A99" s="52">
        <f>IFERROR(__xludf.DUMMYFUNCTION("""COMPUTED_VALUE"""),522.0)</f>
        <v>522</v>
      </c>
      <c r="B99" s="51">
        <f>IFERROR(__xludf.DUMMYFUNCTION("""COMPUTED_VALUE"""),45328.0)</f>
        <v>45328</v>
      </c>
      <c r="C99" s="27" t="str">
        <f>IFERROR(__xludf.DUMMYFUNCTION("""COMPUTED_VALUE"""),"Improv: Prostitute’s Trauma Alternate Ending")</f>
        <v>Improv: Prostitute’s Trauma Alternate Ending</v>
      </c>
      <c r="D99" s="27" t="str">
        <f>IFERROR(__xludf.DUMMYFUNCTION("""COMPUTED_VALUE"""),"Summary: Commissioned by a perv after hearing audio #505 (Prostitute’s Trauma Part 2) and wanting a different ending. ")</f>
        <v>Summary: Commissioned by a perv after hearing audio #505 (Prostitute’s Trauma Part 2) and wanting a different ending. </v>
      </c>
      <c r="E99" s="27" t="str">
        <f>IFERROR(__xludf.DUMMYFUNCTION("""COMPUTED_VALUE"""),"noncon, forced incest, forced bi, lg &amp; lb, trauma")</f>
        <v>noncon, forced incest, forced bi, lg &amp; lb, trauma</v>
      </c>
    </row>
    <row r="100">
      <c r="A100" s="52">
        <f>IFERROR(__xludf.DUMMYFUNCTION("""COMPUTED_VALUE"""),523.0)</f>
        <v>523</v>
      </c>
      <c r="B100" s="51">
        <f>IFERROR(__xludf.DUMMYFUNCTION("""COMPUTED_VALUE"""),45329.0)</f>
        <v>45329</v>
      </c>
      <c r="C100" s="27" t="str">
        <f>IFERROR(__xludf.DUMMYFUNCTION("""COMPUTED_VALUE"""),"Improv: Sweet P Mommy")</f>
        <v>Improv: Sweet P Mommy</v>
      </c>
      <c r="D100" s="27" t="str">
        <f>IFERROR(__xludf.DUMMYFUNCTION("""COMPUTED_VALUE"""),"A sweet P Mommy finally takes her son for the first time. ASMR heavy file with lots of ear licks. ")</f>
        <v>A sweet P Mommy finally takes her son for the first time. ASMR heavy file with lots of ear licks. </v>
      </c>
      <c r="E100" s="27" t="str">
        <f>IFERROR(__xludf.DUMMYFUNCTION("""COMPUTED_VALUE"""),"MDlb, ASMR, ear licks, incest, sensual")</f>
        <v>MDlb, ASMR, ear licks, incest, sensual</v>
      </c>
    </row>
    <row r="101">
      <c r="A101" s="52">
        <f>IFERROR(__xludf.DUMMYFUNCTION("""COMPUTED_VALUE"""),524.0)</f>
        <v>524</v>
      </c>
      <c r="B101" s="51">
        <f>IFERROR(__xludf.DUMMYFUNCTION("""COMPUTED_VALUE"""),45329.0)</f>
        <v>45329</v>
      </c>
      <c r="C101" s="27" t="str">
        <f>IFERROR(__xludf.DUMMYFUNCTION("""COMPUTED_VALUE"""),"Custom: Hypno Mommy")</f>
        <v>Custom: Hypno Mommy</v>
      </c>
      <c r="D101" s="27" t="str">
        <f>IFERROR(__xludf.DUMMYFUNCTION("""COMPUTED_VALUE"""),"A slow burn, taboo mesmerize session. I am your Mommy and I am a professional hypnotist. You've been stressed and seem tense so I talk you into a session. Seems innocent enough. Your body shows signs of arousal while going into trance which surprises me a"&amp;"t first. But then I can't stop looking at it. Looking at you. Wanting to get closer. You will hear Mommy's inner turmoil until I eventually use my hypnotic control over you to get what I want. ")</f>
        <v>A slow burn, taboo mesmerize session. I am your Mommy and I am a professional hypnotist. You've been stressed and seem tense so I talk you into a session. Seems innocent enough. Your body shows signs of arousal while going into trance which surprises me at first. But then I can't stop looking at it. Looking at you. Wanting to get closer. You will hear Mommy's inner turmoil until I eventually use my hypnotic control over you to get what I want. </v>
      </c>
      <c r="E101" s="27" t="str">
        <f>IFERROR(__xludf.DUMMYFUNCTION("""COMPUTED_VALUE"""),"implied ap, MDlb, hypnosis, cnc, slow burn, breeding, incest")</f>
        <v>implied ap, MDlb, hypnosis, cnc, slow burn, breeding, incest</v>
      </c>
    </row>
    <row r="102">
      <c r="A102" s="52">
        <f>IFERROR(__xludf.DUMMYFUNCTION("""COMPUTED_VALUE"""),525.0)</f>
        <v>525</v>
      </c>
      <c r="B102" s="51">
        <f>IFERROR(__xludf.DUMMYFUNCTION("""COMPUTED_VALUE"""),45330.0)</f>
        <v>45330</v>
      </c>
      <c r="C102" s="27" t="str">
        <f>IFERROR(__xludf.DUMMYFUNCTION("""COMPUTED_VALUE"""),"Script Fill: If Miss Bea Was President")</f>
        <v>Script Fill: If Miss Bea Was President</v>
      </c>
      <c r="D102" s="27" t="str">
        <f>IFERROR(__xludf.DUMMYFUNCTION("""COMPUTED_VALUE"""),"Miss Bea gives her first presidential speech after being elected, introducing a new world of depravity and sexual revolution. ")</f>
        <v>Miss Bea gives her first presidential speech after being elected, introducing a new world of depravity and sexual revolution. </v>
      </c>
      <c r="E102" s="27" t="str">
        <f>IFERROR(__xludf.DUMMYFUNCTION("""COMPUTED_VALUE"""),"incest, snuff, brothel, noncon")</f>
        <v>incest, snuff, brothel, noncon</v>
      </c>
    </row>
    <row r="103">
      <c r="A103" s="52">
        <f>IFERROR(__xludf.DUMMYFUNCTION("""COMPUTED_VALUE"""),526.0)</f>
        <v>526</v>
      </c>
      <c r="B103" s="51">
        <f>IFERROR(__xludf.DUMMYFUNCTION("""COMPUTED_VALUE"""),45330.0)</f>
        <v>45330</v>
      </c>
      <c r="C103" s="27" t="str">
        <f>IFERROR(__xludf.DUMMYFUNCTION("""COMPUTED_VALUE"""),"Improv: Birth of a P Mom")</f>
        <v>Improv: Birth of a P Mom</v>
      </c>
      <c r="D103" s="27" t="str">
        <f>IFERROR(__xludf.DUMMYFUNCTION("""COMPUTED_VALUE"""),"A mother finds something disturbing in her son’s room which starts even more disturbing yet horny thoughts in her own mind. ")</f>
        <v>A mother finds something disturbing in her son’s room which starts even more disturbing yet horny thoughts in her own mind. </v>
      </c>
      <c r="E103" s="27" t="str">
        <f>IFERROR(__xludf.DUMMYFUNCTION("""COMPUTED_VALUE"""),"MDlb, MDlg, DDlb, beast, incest, watersports")</f>
        <v>MDlb, MDlg, DDlb, beast, incest, watersports</v>
      </c>
    </row>
    <row r="104">
      <c r="A104" s="52">
        <f>IFERROR(__xludf.DUMMYFUNCTION("""COMPUTED_VALUE"""),529.0)</f>
        <v>529</v>
      </c>
      <c r="B104" s="51">
        <f>IFERROR(__xludf.DUMMYFUNCTION("""COMPUTED_VALUE"""),45335.0)</f>
        <v>45335</v>
      </c>
      <c r="C104" s="27" t="str">
        <f>IFERROR(__xludf.DUMMYFUNCTION("""COMPUTED_VALUE"""),"Improv: Sister Accomplice")</f>
        <v>Improv: Sister Accomplice</v>
      </c>
      <c r="D104" s="27" t="str">
        <f>IFERROR(__xludf.DUMMYFUNCTION("""COMPUTED_VALUE"""),"I catch you spying on my daughter, your niece, and encourage not only using her, but forcibly encourage your own daughter, my niece, as well. ")</f>
        <v>I catch you spying on my daughter, your niece, and encourage not only using her, but forcibly encourage your own daughter, my niece, as well. </v>
      </c>
      <c r="E104" s="27" t="str">
        <f>IFERROR(__xludf.DUMMYFUNCTION("""COMPUTED_VALUE"""),"ccomplice, incest, lesbian incest, DDlg, blackmail")</f>
        <v>ccomplice, incest, lesbian incest, DDlg, blackmail</v>
      </c>
    </row>
    <row r="105">
      <c r="A105" s="52">
        <f>IFERROR(__xludf.DUMMYFUNCTION("""COMPUTED_VALUE"""),531.0)</f>
        <v>531</v>
      </c>
      <c r="B105" s="51">
        <f>IFERROR(__xludf.DUMMYFUNCTION("""COMPUTED_VALUE"""),45340.0)</f>
        <v>45340</v>
      </c>
      <c r="C105" s="27" t="str">
        <f>IFERROR(__xludf.DUMMYFUNCTION("""COMPUTED_VALUE"""),"Improv: Mommy’s Perv Rehab")</f>
        <v>Improv: Mommy’s Perv Rehab</v>
      </c>
      <c r="D105" s="27" t="str">
        <f>IFERROR(__xludf.DUMMYFUNCTION("""COMPUTED_VALUE"""),"I role-play as your mother who helps you deal with your taboo perversions. ")</f>
        <v>I role-play as your mother who helps you deal with your taboo perversions. </v>
      </c>
      <c r="E105" s="27" t="str">
        <f>IFERROR(__xludf.DUMMYFUNCTION("""COMPUTED_VALUE"""),"MDlb, pervert encouragement, incest")</f>
        <v>MDlb, pervert encouragement, incest</v>
      </c>
    </row>
    <row r="106">
      <c r="A106" s="52">
        <f>IFERROR(__xludf.DUMMYFUNCTION("""COMPUTED_VALUE"""),533.0)</f>
        <v>533</v>
      </c>
      <c r="B106" s="51">
        <f>IFERROR(__xludf.DUMMYFUNCTION("""COMPUTED_VALUE"""),45342.0)</f>
        <v>45342</v>
      </c>
      <c r="C106" s="27" t="str">
        <f>IFERROR(__xludf.DUMMYFUNCTION("""COMPUTED_VALUE"""),"Improv: Sibling Sex")</f>
        <v>Improv: Sibling Sex</v>
      </c>
      <c r="D106" s="27" t="str">
        <f>IFERROR(__xludf.DUMMYFUNCTION("""COMPUTED_VALUE"""),"Heavy incest dirty talk from a sibling. ")</f>
        <v>Heavy incest dirty talk from a sibling. </v>
      </c>
      <c r="E106" s="27" t="str">
        <f>IFERROR(__xludf.DUMMYFUNCTION("""COMPUTED_VALUE"""),"incest, breeding, bro/sis")</f>
        <v>incest, breeding, bro/sis</v>
      </c>
    </row>
    <row r="107">
      <c r="A107" s="52">
        <f>IFERROR(__xludf.DUMMYFUNCTION("""COMPUTED_VALUE"""),534.0)</f>
        <v>534</v>
      </c>
      <c r="B107" s="51">
        <f>IFERROR(__xludf.DUMMYFUNCTION("""COMPUTED_VALUE"""),45346.0)</f>
        <v>45346</v>
      </c>
      <c r="C107" s="27" t="str">
        <f>IFERROR(__xludf.DUMMYFUNCTION("""COMPUTED_VALUE"""),"Improv: Goddess Mom Daughter Session")</f>
        <v>Improv: Goddess Mom Daughter Session</v>
      </c>
      <c r="D107" s="27" t="str">
        <f>IFERROR(__xludf.DUMMYFUNCTION("""COMPUTED_VALUE"""),"Dr. B hypnotizes her patient to prove to him that I not only can make the most taboo appear real, but I am his true Goddess of perversion. ")</f>
        <v>Dr. B hypnotizes her patient to prove to him that I not only can make the most taboo appear real, but I am his true Goddess of perversion. </v>
      </c>
      <c r="E107" s="27" t="str">
        <f>IFERROR(__xludf.DUMMYFUNCTION("""COMPUTED_VALUE"""),"hypnosis, pervert encouragement, forced incest, breeding, noncon")</f>
        <v>hypnosis, pervert encouragement, forced incest, breeding, noncon</v>
      </c>
    </row>
    <row r="108">
      <c r="A108" s="52">
        <f>IFERROR(__xludf.DUMMYFUNCTION("""COMPUTED_VALUE"""),535.0)</f>
        <v>535</v>
      </c>
      <c r="B108" s="51">
        <f>IFERROR(__xludf.DUMMYFUNCTION("""COMPUTED_VALUE"""),45348.0)</f>
        <v>45348</v>
      </c>
      <c r="C108" s="27" t="str">
        <f>IFERROR(__xludf.DUMMYFUNCTION("""COMPUTED_VALUE"""),"Improv: Accidental Mommy Sex")</f>
        <v>Improv: Accidental Mommy Sex</v>
      </c>
      <c r="D108" s="27" t="str">
        <f>IFERROR(__xludf.DUMMYFUNCTION("""COMPUTED_VALUE"""),"A round of innocent play fighting turns into sex. ")</f>
        <v>A round of innocent play fighting turns into sex. </v>
      </c>
      <c r="E108" s="27" t="str">
        <f>IFERROR(__xludf.DUMMYFUNCTION("""COMPUTED_VALUE"""),"MDlb, wet sex sfx, incest")</f>
        <v>MDlb, wet sex sfx, incest</v>
      </c>
    </row>
    <row r="109">
      <c r="A109" s="52">
        <f>IFERROR(__xludf.DUMMYFUNCTION("""COMPUTED_VALUE"""),537.0)</f>
        <v>537</v>
      </c>
      <c r="B109" s="51">
        <f>IFERROR(__xludf.DUMMYFUNCTION("""COMPUTED_VALUE"""),45350.0)</f>
        <v>45350</v>
      </c>
      <c r="C109" s="27" t="str">
        <f>IFERROR(__xludf.DUMMYFUNCTION("""COMPUTED_VALUE"""),"Improv: Family Business")</f>
        <v>Improv: Family Business</v>
      </c>
      <c r="D109" s="27" t="str">
        <f>IFERROR(__xludf.DUMMYFUNCTION("""COMPUTED_VALUE"""),"I role-play as a mother to a family that does wild live streams in sneaky public places.")</f>
        <v>I role-play as a mother to a family that does wild live streams in sneaky public places.</v>
      </c>
      <c r="E109" s="27" t="str">
        <f>IFERROR(__xludf.DUMMYFUNCTION("""COMPUTED_VALUE"""),"incest, public sex, MDlb, MDlg, DDlg, DDlb, beast")</f>
        <v>incest, public sex, MDlb, MDlg, DDlg, DDlb, beast</v>
      </c>
    </row>
    <row r="110">
      <c r="A110" s="52">
        <f>IFERROR(__xludf.DUMMYFUNCTION("""COMPUTED_VALUE"""),539.0)</f>
        <v>539</v>
      </c>
      <c r="B110" s="51">
        <f>IFERROR(__xludf.DUMMYFUNCTION("""COMPUTED_VALUE"""),45351.0)</f>
        <v>45351</v>
      </c>
      <c r="C110" s="27" t="str">
        <f>IFERROR(__xludf.DUMMYFUNCTION("""COMPUTED_VALUE"""),"Custom: Brother &amp; Sister Explore Pt 2")</f>
        <v>Custom: Brother &amp; Sister Explore Pt 2</v>
      </c>
      <c r="D110" s="27" t="str">
        <f>IFERROR(__xludf.DUMMYFUNCTION("""COMPUTED_VALUE"""),"Siblings connect again after their first time together. ")</f>
        <v>Siblings connect again after their first time together. </v>
      </c>
      <c r="E110" s="27" t="str">
        <f>IFERROR(__xludf.DUMMYFUNCTION("""COMPUTED_VALUE"""),"incest, oral, siblings")</f>
        <v>incest, oral, siblings</v>
      </c>
    </row>
    <row r="111">
      <c r="A111" s="52">
        <f>IFERROR(__xludf.DUMMYFUNCTION("""COMPUTED_VALUE"""),543.0)</f>
        <v>543</v>
      </c>
      <c r="B111" s="51">
        <f>IFERROR(__xludf.DUMMYFUNCTION("""COMPUTED_VALUE"""),45357.0)</f>
        <v>45357</v>
      </c>
      <c r="C111" s="27" t="str">
        <f>IFERROR(__xludf.DUMMYFUNCTION("""COMPUTED_VALUE"""),"Improv: Good Little Niece")</f>
        <v>Improv: Good Little Niece</v>
      </c>
      <c r="D111" s="27" t="str">
        <f>IFERROR(__xludf.DUMMYFUNCTION("""COMPUTED_VALUE"""),"An uncle continues his affair with his niece. ")</f>
        <v>An uncle continues his affair with his niece. </v>
      </c>
      <c r="E111" s="27" t="str">
        <f>IFERROR(__xludf.DUMMYFUNCTION("""COMPUTED_VALUE"""),"uncle/niece, incest, oral, facial")</f>
        <v>uncle/niece, incest, oral, facial</v>
      </c>
    </row>
    <row r="112">
      <c r="A112" s="52">
        <f>IFERROR(__xludf.DUMMYFUNCTION("""COMPUTED_VALUE"""),547.0)</f>
        <v>547</v>
      </c>
      <c r="B112" s="51">
        <f>IFERROR(__xludf.DUMMYFUNCTION("""COMPUTED_VALUE"""),45362.0)</f>
        <v>45362</v>
      </c>
      <c r="C112" s="27" t="str">
        <f>IFERROR(__xludf.DUMMYFUNCTION("""COMPUTED_VALUE"""),"Improv: Drunk Mommy Sex")</f>
        <v>Improv: Drunk Mommy Sex</v>
      </c>
      <c r="D112" s="27" t="str">
        <f>IFERROR(__xludf.DUMMYFUNCTION("""COMPUTED_VALUE"""),"Mom comes home drunk and cuddles with her son until he takes advantage of the situation. ")</f>
        <v>Mom comes home drunk and cuddles with her son until he takes advantage of the situation. </v>
      </c>
      <c r="E112" s="27" t="str">
        <f>IFERROR(__xludf.DUMMYFUNCTION("""COMPUTED_VALUE"""),"MDlb, incest, pervert encouragement")</f>
        <v>MDlb, incest, pervert encouragement</v>
      </c>
    </row>
    <row r="113">
      <c r="A113" s="52">
        <f>IFERROR(__xludf.DUMMYFUNCTION("""COMPUTED_VALUE"""),549.0)</f>
        <v>549</v>
      </c>
      <c r="B113" s="51">
        <f>IFERROR(__xludf.DUMMYFUNCTION("""COMPUTED_VALUE"""),45364.0)</f>
        <v>45364</v>
      </c>
      <c r="C113" s="27" t="str">
        <f>IFERROR(__xludf.DUMMYFUNCTION("""COMPUTED_VALUE"""),"Improv: Twin Extremes")</f>
        <v>Improv: Twin Extremes</v>
      </c>
      <c r="D113" s="27" t="str">
        <f>IFERROR(__xludf.DUMMYFUNCTION("""COMPUTED_VALUE"""),"We’re parents to twins and one is our sweet princess while the other one is treated like an object. ")</f>
        <v>We’re parents to twins and one is our sweet princess while the other one is treated like an object. </v>
      </c>
      <c r="E113" s="27" t="str">
        <f>IFERROR(__xludf.DUMMYFUNCTION("""COMPUTED_VALUE"""),"MDlg, DDlg, incest, mean &amp; sweet mommy")</f>
        <v>MDlg, DDlg, incest, mean &amp; sweet mommy</v>
      </c>
    </row>
    <row r="114">
      <c r="A114" s="52">
        <f>IFERROR(__xludf.DUMMYFUNCTION("""COMPUTED_VALUE"""),558.0)</f>
        <v>558</v>
      </c>
      <c r="B114" s="51">
        <f>IFERROR(__xludf.DUMMYFUNCTION("""COMPUTED_VALUE"""),45369.0)</f>
        <v>45369</v>
      </c>
      <c r="C114" s="27" t="str">
        <f>IFERROR(__xludf.DUMMYFUNCTION("""COMPUTED_VALUE"""),"Silent Call: Corrupted Mother")</f>
        <v>Silent Call: Corrupted Mother</v>
      </c>
      <c r="D114" s="27" t="str">
        <f>IFERROR(__xludf.DUMMYFUNCTION("""COMPUTED_VALUE"""),"Two for one story. A mother dives into an incestuous relationship which then leads to another story about another mother that was used for their pleasure. ")</f>
        <v>Two for one story. A mother dives into an incestuous relationship which then leads to another story about another mother that was used for their pleasure. </v>
      </c>
      <c r="E114" s="27" t="str">
        <f>IFERROR(__xludf.DUMMYFUNCTION("""COMPUTED_VALUE"""),"MDlb, DDlg, incest, accomplice")</f>
        <v>MDlb, DDlg, incest, accomplice</v>
      </c>
    </row>
    <row r="115">
      <c r="A115" s="52">
        <f>IFERROR(__xludf.DUMMYFUNCTION("""COMPUTED_VALUE"""),559.0)</f>
        <v>559</v>
      </c>
      <c r="B115" s="51">
        <f>IFERROR(__xludf.DUMMYFUNCTION("""COMPUTED_VALUE"""),45370.0)</f>
        <v>45370</v>
      </c>
      <c r="C115" s="27" t="str">
        <f>IFERROR(__xludf.DUMMYFUNCTION("""COMPUTED_VALUE"""),"Improv: Mother Lover")</f>
        <v>Improv: Mother Lover</v>
      </c>
      <c r="D115" s="27" t="str">
        <f>IFERROR(__xludf.DUMMYFUNCTION("""COMPUTED_VALUE"""),"Your mother is your lover, degrades your father, and plans your future")</f>
        <v>Your mother is your lover, degrades your father, and plans your future</v>
      </c>
      <c r="E115" s="27" t="str">
        <f>IFERROR(__xludf.DUMMYFUNCTION("""COMPUTED_VALUE"""),"no ap, MDlb, incest, breeding")</f>
        <v>no ap, MDlb, incest, breeding</v>
      </c>
    </row>
    <row r="116">
      <c r="A116" s="52">
        <f>IFERROR(__xludf.DUMMYFUNCTION("""COMPUTED_VALUE"""),562.0)</f>
        <v>562</v>
      </c>
      <c r="B116" s="51">
        <f>IFERROR(__xludf.DUMMYFUNCTION("""COMPUTED_VALUE"""),45372.0)</f>
        <v>45372</v>
      </c>
      <c r="C116" s="27" t="str">
        <f>IFERROR(__xludf.DUMMYFUNCTION("""COMPUTED_VALUE"""),"Improv: Family of the Year")</f>
        <v>Improv: Family of the Year</v>
      </c>
      <c r="D116" s="27" t="str">
        <f>IFERROR(__xludf.DUMMYFUNCTION("""COMPUTED_VALUE"""),"I’m the mother of a huge family and being interviewed while a family orgy is taking place. ")</f>
        <v>I’m the mother of a huge family and being interviewed while a family orgy is taking place. </v>
      </c>
      <c r="E116" s="27" t="str">
        <f>IFERROR(__xludf.DUMMYFUNCTION("""COMPUTED_VALUE"""),"incest, bi encouragement, intox, incest, DDlg, DDlb, MDlb, MDlg, siblings, fisting, double penetration")</f>
        <v>incest, bi encouragement, intox, incest, DDlg, DDlb, MDlb, MDlg, siblings, fisting, double penetration</v>
      </c>
    </row>
    <row r="117">
      <c r="A117" s="52">
        <f>IFERROR(__xludf.DUMMYFUNCTION("""COMPUTED_VALUE"""),565.0)</f>
        <v>565</v>
      </c>
      <c r="B117" s="51">
        <f>IFERROR(__xludf.DUMMYFUNCTION("""COMPUTED_VALUE"""),45374.0)</f>
        <v>45374</v>
      </c>
      <c r="C117" s="27" t="str">
        <f>IFERROR(__xludf.DUMMYFUNCTION("""COMPUTED_VALUE"""),"Improv: DDlg Hypnotherapy Session")</f>
        <v>Improv: DDlg Hypnotherapy Session</v>
      </c>
      <c r="D117" s="27" t="str">
        <f>IFERROR(__xludf.DUMMYFUNCTION("""COMPUTED_VALUE"""),"Dr. Bea brings you and your daughter in to her office so help hypnotize her into being the best girl for her daddy. ")</f>
        <v>Dr. Bea brings you and your daughter in to her office so help hypnotize her into being the best girl for her daddy. </v>
      </c>
      <c r="E117" s="27" t="str">
        <f>IFERROR(__xludf.DUMMYFUNCTION("""COMPUTED_VALUE"""),"DDlg, accomplice, hypnosis, incest")</f>
        <v>DDlg, accomplice, hypnosis, incest</v>
      </c>
    </row>
    <row r="118">
      <c r="A118" s="52">
        <f>IFERROR(__xludf.DUMMYFUNCTION("""COMPUTED_VALUE"""),569.0)</f>
        <v>569</v>
      </c>
      <c r="B118" s="51">
        <f>IFERROR(__xludf.DUMMYFUNCTION("""COMPUTED_VALUE"""),45377.0)</f>
        <v>45377</v>
      </c>
      <c r="C118" s="27" t="str">
        <f>IFERROR(__xludf.DUMMYFUNCTION("""COMPUTED_VALUE"""),"Script Fill: Best Big Sister")</f>
        <v>Script Fill: Best Big Sister</v>
      </c>
      <c r="D118" s="27" t="str">
        <f>IFERROR(__xludf.DUMMYFUNCTION("""COMPUTED_VALUE"""),"Your much older sister takes care of you like a good sis. ")</f>
        <v>Your much older sister takes care of you like a good sis. </v>
      </c>
      <c r="E118" s="27" t="str">
        <f>IFERROR(__xludf.DUMMYFUNCTION("""COMPUTED_VALUE"""),"incest, siblings, watersports, piss in mouth sfx, blow job sfx")</f>
        <v>incest, siblings, watersports, piss in mouth sfx, blow job sfx</v>
      </c>
    </row>
    <row r="119">
      <c r="A119" s="52">
        <f>IFERROR(__xludf.DUMMYFUNCTION("""COMPUTED_VALUE"""),573.0)</f>
        <v>573</v>
      </c>
      <c r="B119" s="51">
        <f>IFERROR(__xludf.DUMMYFUNCTION("""COMPUTED_VALUE"""),45385.0)</f>
        <v>45385</v>
      </c>
      <c r="C119" s="27" t="str">
        <f>IFERROR(__xludf.DUMMYFUNCTION("""COMPUTED_VALUE"""),"Custom: Hypno Mommy Part 2")</f>
        <v>Custom: Hypno Mommy Part 2</v>
      </c>
      <c r="D119" s="27" t="str">
        <f>IFERROR(__xludf.DUMMYFUNCTION("""COMPUTED_VALUE"""),"Another slow burn with Mommy. See the timeline for part 1.
In part 1, our Mommy character struggles with feelings of arousal and desire after putting her son into trance for innocent reasons. Her taboo hunger gets the better of her. 
Part 2 is no differ"&amp;"ent. Our Mommy character feels conflicted and is talked into giving another session to help aid in the listener's self improvement journey. What happens in trance...well, stays in trance. Again.")</f>
        <v>Another slow burn with Mommy. See the timeline for part 1.
In part 1, our Mommy character struggles with feelings of arousal and desire after putting her son into trance for innocent reasons. Her taboo hunger gets the better of her. 
Part 2 is no different. Our Mommy character feels conflicted and is talked into giving another session to help aid in the listener's self improvement journey. What happens in trance...well, stays in trance. Again.</v>
      </c>
      <c r="E119" s="27" t="str">
        <f>IFERROR(__xludf.DUMMYFUNCTION("""COMPUTED_VALUE"""),"no ap, incest, cnc, hypnosis, breeding, MDlb")</f>
        <v>no ap, incest, cnc, hypnosis, breeding, MDlb</v>
      </c>
    </row>
    <row r="120">
      <c r="A120" s="52">
        <f>IFERROR(__xludf.DUMMYFUNCTION("""COMPUTED_VALUE"""),574.0)</f>
        <v>574</v>
      </c>
      <c r="B120" s="51">
        <f>IFERROR(__xludf.DUMMYFUNCTION("""COMPUTED_VALUE"""),45385.0)</f>
        <v>45385</v>
      </c>
      <c r="C120" s="27" t="str">
        <f>IFERROR(__xludf.DUMMYFUNCTION("""COMPUTED_VALUE"""),"Improv: Daughter’s Punishment Room Pt 3")</f>
        <v>Improv: Daughter’s Punishment Room Pt 3</v>
      </c>
      <c r="D120" s="27" t="str">
        <f>IFERROR(__xludf.DUMMYFUNCTION("""COMPUTED_VALUE"""),"Mom &amp; Dad find a reason to punish their daughter in their home dungeon. ")</f>
        <v>Mom &amp; Dad find a reason to punish their daughter in their home dungeon. </v>
      </c>
      <c r="E120" s="27" t="str">
        <f>IFERROR(__xludf.DUMMYFUNCTION("""COMPUTED_VALUE"""),"incest, S&amp;M, DDlg, anal, throat fuck sfx, ball gag sfx, spanking sfx")</f>
        <v>incest, S&amp;M, DDlg, anal, throat fuck sfx, ball gag sfx, spanking sfx</v>
      </c>
    </row>
    <row r="121">
      <c r="A121" s="52">
        <f>IFERROR(__xludf.DUMMYFUNCTION("""COMPUTED_VALUE"""),576.0)</f>
        <v>576</v>
      </c>
      <c r="B121" s="51">
        <f>IFERROR(__xludf.DUMMYFUNCTION("""COMPUTED_VALUE"""),45388.0)</f>
        <v>45388</v>
      </c>
      <c r="C121" s="27" t="str">
        <f>IFERROR(__xludf.DUMMYFUNCTION("""COMPUTED_VALUE"""),"Improv: Pervy Disney Streaming")</f>
        <v>Improv: Pervy Disney Streaming</v>
      </c>
      <c r="D121" s="27" t="str">
        <f>IFERROR(__xludf.DUMMYFUNCTION("""COMPUTED_VALUE"""),"The public perving family takes a trip to Disney World and livestreams their depravity. ")</f>
        <v>The public perving family takes a trip to Disney World and livestreams their depravity. </v>
      </c>
      <c r="E121" s="27" t="str">
        <f>IFERROR(__xludf.DUMMYFUNCTION("""COMPUTED_VALUE"""),"public sex, incest, DDlg, MDlb, orgy")</f>
        <v>public sex, incest, DDlg, MDlb, orgy</v>
      </c>
    </row>
    <row r="122">
      <c r="A122" s="52">
        <f>IFERROR(__xludf.DUMMYFUNCTION("""COMPUTED_VALUE"""),580.0)</f>
        <v>580</v>
      </c>
      <c r="B122" s="51">
        <f>IFERROR(__xludf.DUMMYFUNCTION("""COMPUTED_VALUE"""),45390.0)</f>
        <v>45390</v>
      </c>
      <c r="C122" s="27" t="str">
        <f>IFERROR(__xludf.DUMMYFUNCTION("""COMPUTED_VALUE"""),"Improv: Breed Our Daughter")</f>
        <v>Improv: Breed Our Daughter</v>
      </c>
      <c r="D122" s="27" t="str">
        <f>IFERROR(__xludf.DUMMYFUNCTION("""COMPUTED_VALUE"""),"I find proof our daughter has a crush on her father and encourage them to have sex. ")</f>
        <v>I find proof our daughter has a crush on her father and encourage them to have sex. </v>
      </c>
      <c r="E122" s="27" t="str">
        <f>IFERROR(__xludf.DUMMYFUNCTION("""COMPUTED_VALUE"""),"ddlg, breeding, accomplice, incest")</f>
        <v>ddlg, breeding, accomplice, incest</v>
      </c>
    </row>
    <row r="123">
      <c r="A123" s="52">
        <f>IFERROR(__xludf.DUMMYFUNCTION("""COMPUTED_VALUE"""),582.0)</f>
        <v>582</v>
      </c>
      <c r="B123" s="51">
        <f>IFERROR(__xludf.DUMMYFUNCTION("""COMPUTED_VALUE"""),45391.0)</f>
        <v>45391</v>
      </c>
      <c r="C123" s="27" t="str">
        <f>IFERROR(__xludf.DUMMYFUNCTION("""COMPUTED_VALUE"""),"Improv: Daughter Calls Your PSO")</f>
        <v>Improv: Daughter Calls Your PSO</v>
      </c>
      <c r="D123" s="27" t="str">
        <f>IFERROR(__xludf.DUMMYFUNCTION("""COMPUTED_VALUE"""),"Your daughter calls me,  your taboo PSO, and gets a special DDlg silent call. ")</f>
        <v>Your daughter calls me,  your taboo PSO, and gets a special DDlg silent call. </v>
      </c>
      <c r="E123" s="27" t="str">
        <f>IFERROR(__xludf.DUMMYFUNCTION("""COMPUTED_VALUE"""),"one woman/two voices, ddlg, accomplice, cum countdown, breeding, incest")</f>
        <v>one woman/two voices, ddlg, accomplice, cum countdown, breeding, incest</v>
      </c>
    </row>
    <row r="124">
      <c r="A124" s="52">
        <f>IFERROR(__xludf.DUMMYFUNCTION("""COMPUTED_VALUE"""),585.0)</f>
        <v>585</v>
      </c>
      <c r="B124" s="51">
        <f>IFERROR(__xludf.DUMMYFUNCTION("""COMPUTED_VALUE"""),45397.0)</f>
        <v>45397</v>
      </c>
      <c r="C124" s="27" t="str">
        <f>IFERROR(__xludf.DUMMYFUNCTION("""COMPUTED_VALUE"""),"Improv: Mommy Takes You")</f>
        <v>Improv: Mommy Takes You</v>
      </c>
      <c r="D124" s="27" t="str">
        <f>IFERROR(__xludf.DUMMYFUNCTION("""COMPUTED_VALUE"""),"I’ve been wanking you for years but now I want you to have all of Mommy")</f>
        <v>I’ve been wanking you for years but now I want you to have all of Mommy</v>
      </c>
      <c r="E124" s="27" t="str">
        <f>IFERROR(__xludf.DUMMYFUNCTION("""COMPUTED_VALUE"""),"MDlb, incest, CEI, all three holes")</f>
        <v>MDlb, incest, CEI, all three holes</v>
      </c>
    </row>
    <row r="125">
      <c r="A125" s="52">
        <f>IFERROR(__xludf.DUMMYFUNCTION("""COMPUTED_VALUE"""),591.0)</f>
        <v>591</v>
      </c>
      <c r="B125" s="51">
        <f>IFERROR(__xludf.DUMMYFUNCTION("""COMPUTED_VALUE"""),45406.0)</f>
        <v>45406</v>
      </c>
      <c r="C125" s="27" t="str">
        <f>IFERROR(__xludf.DUMMYFUNCTION("""COMPUTED_VALUE"""),"Improv: Curious Brother")</f>
        <v>Improv: Curious Brother</v>
      </c>
      <c r="D125" s="27" t="str">
        <f>IFERROR(__xludf.DUMMYFUNCTION("""COMPUTED_VALUE"""),"The listener gets curious about his little sister’s private parts and gets a lesson from Mommy. ")</f>
        <v>The listener gets curious about his little sister’s private parts and gets a lesson from Mommy. </v>
      </c>
      <c r="E125" s="27" t="str">
        <f>IFERROR(__xludf.DUMMYFUNCTION("""COMPUTED_VALUE"""),"siblings, incest, MDlb, creampie")</f>
        <v>siblings, incest, MDlb, creampie</v>
      </c>
    </row>
    <row r="126">
      <c r="A126" s="52">
        <f>IFERROR(__xludf.DUMMYFUNCTION("""COMPUTED_VALUE"""),592.0)</f>
        <v>592</v>
      </c>
      <c r="B126" s="51">
        <f>IFERROR(__xludf.DUMMYFUNCTION("""COMPUTED_VALUE"""),45406.0)</f>
        <v>45406</v>
      </c>
      <c r="C126" s="27" t="str">
        <f>IFERROR(__xludf.DUMMYFUNCTION("""COMPUTED_VALUE"""),"Improv: Showers With Daddy")</f>
        <v>Improv: Showers With Daddy</v>
      </c>
      <c r="D126" s="27" t="str">
        <f>IFERROR(__xludf.DUMMYFUNCTION("""COMPUTED_VALUE"""),"I take showers with my dad that start pretty innocent, but get more perverse after some times.  ")</f>
        <v>I take showers with my dad that start pretty innocent, but get more perverse after some times.  </v>
      </c>
      <c r="E126" s="27" t="str">
        <f>IFERROR(__xludf.DUMMYFUNCTION("""COMPUTED_VALUE"""),"DDlg, incest, creampie")</f>
        <v>DDlg, incest, creampie</v>
      </c>
    </row>
    <row r="127">
      <c r="A127" s="52">
        <f>IFERROR(__xludf.DUMMYFUNCTION("""COMPUTED_VALUE"""),597.0)</f>
        <v>597</v>
      </c>
      <c r="B127" s="51">
        <f>IFERROR(__xludf.DUMMYFUNCTION("""COMPUTED_VALUE"""),45413.0)</f>
        <v>45413</v>
      </c>
      <c r="C127" s="27" t="str">
        <f>IFERROR(__xludf.DUMMYFUNCTION("""COMPUTED_VALUE"""),"Improv: Your Sister Accomplice")</f>
        <v>Improv: Your Sister Accomplice</v>
      </c>
      <c r="D127" s="27" t="str">
        <f>IFERROR(__xludf.DUMMYFUNCTION("""COMPUTED_VALUE"""),"The listener and his sister had sex years ago and never talked about it. She wants to have a talk now though and explain how it’s affected her life. ")</f>
        <v>The listener and his sister had sex years ago and never talked about it. She wants to have a talk now though and explain how it’s affected her life. </v>
      </c>
      <c r="E127" s="27" t="str">
        <f>IFERROR(__xludf.DUMMYFUNCTION("""COMPUTED_VALUE"""),"incest, siblings, accomplice")</f>
        <v>incest, siblings, accomplice</v>
      </c>
    </row>
    <row r="128">
      <c r="A128" s="52">
        <f>IFERROR(__xludf.DUMMYFUNCTION("""COMPUTED_VALUE"""),599.0)</f>
        <v>599</v>
      </c>
      <c r="B128" s="51">
        <f>IFERROR(__xludf.DUMMYFUNCTION("""COMPUTED_VALUE"""),45416.0)</f>
        <v>45416</v>
      </c>
      <c r="C128" s="27" t="str">
        <f>IFERROR(__xludf.DUMMYFUNCTION("""COMPUTED_VALUE"""),"Improv: Sneaking Sibling Sex")</f>
        <v>Improv: Sneaking Sibling Sex</v>
      </c>
      <c r="D128" s="27" t="str">
        <f>IFERROR(__xludf.DUMMYFUNCTION("""COMPUTED_VALUE"""),"Your little sister takes advantage of a sleepover with her friends to enjoy teasing you about your secret sibling incest. ")</f>
        <v>Your little sister takes advantage of a sleepover with her friends to enjoy teasing you about your secret sibling incest. </v>
      </c>
      <c r="E128" s="27" t="str">
        <f>IFERROR(__xludf.DUMMYFUNCTION("""COMPUTED_VALUE"""),"incest, sibling sex, risky sex, public sex, accomplice")</f>
        <v>incest, sibling sex, risky sex, public sex, accomplice</v>
      </c>
    </row>
    <row r="129">
      <c r="A129" s="52">
        <f>IFERROR(__xludf.DUMMYFUNCTION("""COMPUTED_VALUE"""),602.0)</f>
        <v>602</v>
      </c>
      <c r="B129" s="51">
        <f>IFERROR(__xludf.DUMMYFUNCTION("""COMPUTED_VALUE"""),45420.0)</f>
        <v>45420</v>
      </c>
      <c r="C129" s="27" t="str">
        <f>IFERROR(__xludf.DUMMYFUNCTION("""COMPUTED_VALUE"""),"Silent Call: Mom Turns Into Your Accomplice")</f>
        <v>Silent Call: Mom Turns Into Your Accomplice</v>
      </c>
      <c r="D129" s="27" t="str">
        <f>IFERROR(__xludf.DUMMYFUNCTION("""COMPUTED_VALUE"""),"A mother/son story turns into an accomplice story")</f>
        <v>A mother/son story turns into an accomplice story</v>
      </c>
      <c r="E129" s="27" t="str">
        <f>IFERROR(__xludf.DUMMYFUNCTION("""COMPUTED_VALUE"""),"accomplice, MDlb, incest, breeding")</f>
        <v>accomplice, MDlb, incest, breeding</v>
      </c>
    </row>
    <row r="130">
      <c r="A130" s="52">
        <f>IFERROR(__xludf.DUMMYFUNCTION("""COMPUTED_VALUE"""),605.0)</f>
        <v>605</v>
      </c>
      <c r="B130" s="51">
        <f>IFERROR(__xludf.DUMMYFUNCTION("""COMPUTED_VALUE"""),45422.0)</f>
        <v>45422</v>
      </c>
      <c r="C130" s="27" t="str">
        <f>IFERROR(__xludf.DUMMYFUNCTION("""COMPUTED_VALUE"""),"Make Love to Mommy (In Trance)")</f>
        <v>Make Love to Mommy (In Trance)</v>
      </c>
      <c r="D130" s="27" t="str">
        <f>IFERROR(__xludf.DUMMYFUNCTION("""COMPUTED_VALUE"""),"A sensual Mommy Domme roleplay where I put you into trance and suggest we have sex for the first time")</f>
        <v>A sensual Mommy Domme roleplay where I put you into trance and suggest we have sex for the first time</v>
      </c>
      <c r="E130" s="27" t="str">
        <f>IFERROR(__xludf.DUMMYFUNCTION("""COMPUTED_VALUE"""),"implied ap, MDlb, incest, creampie, hypno")</f>
        <v>implied ap, MDlb, incest, creampie, hypno</v>
      </c>
    </row>
    <row r="131">
      <c r="A131" s="52">
        <f>IFERROR(__xludf.DUMMYFUNCTION("""COMPUTED_VALUE"""),615.0)</f>
        <v>615</v>
      </c>
      <c r="B131" s="51">
        <f>IFERROR(__xludf.DUMMYFUNCTION("""COMPUTED_VALUE"""),45445.0)</f>
        <v>45445</v>
      </c>
      <c r="C131" s="27" t="str">
        <f>IFERROR(__xludf.DUMMYFUNCTION("""COMPUTED_VALUE"""),"Miss B Directs DDlg Session")</f>
        <v>Miss B Directs DDlg Session</v>
      </c>
      <c r="D131" s="27" t="str">
        <f>IFERROR(__xludf.DUMMYFUNCTION("""COMPUTED_VALUE"""),"I direct a DDlg session, their first time together. ")</f>
        <v>I direct a DDlg session, their first time together. </v>
      </c>
      <c r="E131" s="27" t="str">
        <f>IFERROR(__xludf.DUMMYFUNCTION("""COMPUTED_VALUE"""),"DDlg, breeding, incest, watersports, CEI")</f>
        <v>DDlg, breeding, incest, watersports, CEI</v>
      </c>
    </row>
    <row r="132">
      <c r="A132" s="52">
        <f>IFERROR(__xludf.DUMMYFUNCTION("""COMPUTED_VALUE"""),621.0)</f>
        <v>621</v>
      </c>
      <c r="B132" s="51">
        <f>IFERROR(__xludf.DUMMYFUNCTION("""COMPUTED_VALUE"""),45454.0)</f>
        <v>45454</v>
      </c>
      <c r="C132" s="27" t="str">
        <f>IFERROR(__xludf.DUMMYFUNCTION("""COMPUTED_VALUE"""),"Mommy's Bedtime Games")</f>
        <v>Mommy's Bedtime Games</v>
      </c>
      <c r="D132" s="27" t="str">
        <f>IFERROR(__xludf.DUMMYFUNCTION("""COMPUTED_VALUE"""),"I roleplay as the listener's mother that introduces sis to our special Mom/son games for the first time. ")</f>
        <v>I roleplay as the listener's mother that introduces sis to our special Mom/son games for the first time. </v>
      </c>
      <c r="E132" s="27" t="str">
        <f>IFERROR(__xludf.DUMMYFUNCTION("""COMPUTED_VALUE"""),"incest, MDlb, MDlg, sibling")</f>
        <v>incest, MDlb, MDlg, sibling</v>
      </c>
    </row>
    <row r="133">
      <c r="A133" s="52">
        <f>IFERROR(__xludf.DUMMYFUNCTION("""COMPUTED_VALUE"""),624.0)</f>
        <v>624</v>
      </c>
      <c r="B133" s="51">
        <f>IFERROR(__xludf.DUMMYFUNCTION("""COMPUTED_VALUE"""),45457.0)</f>
        <v>45457</v>
      </c>
      <c r="C133" s="27" t="str">
        <f>IFERROR(__xludf.DUMMYFUNCTION("""COMPUTED_VALUE"""),"Collab: Teach Me Mommy")</f>
        <v>Collab: Teach Me Mommy</v>
      </c>
      <c r="D133" s="27" t="str">
        <f>IFERROR(__xludf.DUMMYFUNCTION("""COMPUTED_VALUE""")," A mother gives her daughter lessons on how to be the best slut for Daddy")</f>
        <v> A mother gives her daughter lessons on how to be the best slut for Daddy</v>
      </c>
      <c r="E133" s="27" t="str">
        <f>IFERROR(__xludf.DUMMYFUNCTION("""COMPUTED_VALUE"""),"MDlg, DDlg, Accomplice, incest, lesbian, blowjob sfx")</f>
        <v>MDlg, DDlg, Accomplice, incest, lesbian, blowjob sfx</v>
      </c>
    </row>
    <row r="134">
      <c r="A134" s="52">
        <f>IFERROR(__xludf.DUMMYFUNCTION("""COMPUTED_VALUE"""),626.0)</f>
        <v>626</v>
      </c>
      <c r="B134" s="51">
        <f>IFERROR(__xludf.DUMMYFUNCTION("""COMPUTED_VALUE"""),45461.0)</f>
        <v>45461</v>
      </c>
      <c r="C134" s="27" t="str">
        <f>IFERROR(__xludf.DUMMYFUNCTION("""COMPUTED_VALUE"""),"Naughty Mommy Webcam Fun")</f>
        <v>Naughty Mommy Webcam Fun</v>
      </c>
      <c r="D134" s="27" t="str">
        <f>IFERROR(__xludf.DUMMYFUNCTION("""COMPUTED_VALUE"""),"A mother has naughty fun on webcam with her son and daughter. ")</f>
        <v>A mother has naughty fun on webcam with her son and daughter. </v>
      </c>
      <c r="E134" s="27" t="str">
        <f>IFERROR(__xludf.DUMMYFUNCTION("""COMPUTED_VALUE"""),"MDlb, MDlg, accomplice, incest")</f>
        <v>MDlb, MDlg, accomplice, incest</v>
      </c>
    </row>
    <row r="135">
      <c r="A135" s="52">
        <f>IFERROR(__xludf.DUMMYFUNCTION("""COMPUTED_VALUE"""),630.0)</f>
        <v>630</v>
      </c>
      <c r="B135" s="51">
        <f>IFERROR(__xludf.DUMMYFUNCTION("""COMPUTED_VALUE"""),45463.0)</f>
        <v>45463</v>
      </c>
      <c r="C135" s="27" t="str">
        <f>IFERROR(__xludf.DUMMYFUNCTION("""COMPUTED_VALUE"""),"Training Big Sis")</f>
        <v>Training Big Sis</v>
      </c>
      <c r="D135" s="27" t="str">
        <f>IFERROR(__xludf.DUMMYFUNCTION("""COMPUTED_VALUE"""),"I help a big sister train her little sister to learn her place. ")</f>
        <v>I help a big sister train her little sister to learn her place. </v>
      </c>
      <c r="E135" s="27" t="str">
        <f>IFERROR(__xludf.DUMMYFUNCTION("""COMPUTED_VALUE"""),"accomplice, siblings, misogyny, degradation, lesbian sister, incest, DDlg")</f>
        <v>accomplice, siblings, misogyny, degradation, lesbian sister, incest, DDlg</v>
      </c>
    </row>
    <row r="136">
      <c r="A136" s="52">
        <f>IFERROR(__xludf.DUMMYFUNCTION("""COMPUTED_VALUE"""),632.0)</f>
        <v>632</v>
      </c>
      <c r="B136" s="51">
        <f>IFERROR(__xludf.DUMMYFUNCTION("""COMPUTED_VALUE"""),45468.0)</f>
        <v>45468</v>
      </c>
      <c r="C136" s="27" t="str">
        <f>IFERROR(__xludf.DUMMYFUNCTION("""COMPUTED_VALUE"""),"Sweet Anal Mommy")</f>
        <v>Sweet Anal Mommy</v>
      </c>
      <c r="D136" s="27" t="str">
        <f>IFERROR(__xludf.DUMMYFUNCTION("""COMPUTED_VALUE"""),"A mother is so obsessed with anal sex that she convinces her son it's totally normal for them to have. ")</f>
        <v>A mother is so obsessed with anal sex that she convinces her son it's totally normal for them to have. </v>
      </c>
      <c r="E136" s="27" t="str">
        <f>IFERROR(__xludf.DUMMYFUNCTION("""COMPUTED_VALUE"""),"incest, anal, MDlb")</f>
        <v>incest, anal, MDlb</v>
      </c>
    </row>
    <row r="137">
      <c r="A137" s="52">
        <f>IFERROR(__xludf.DUMMYFUNCTION("""COMPUTED_VALUE"""),637.0)</f>
        <v>637</v>
      </c>
      <c r="B137" s="51">
        <f>IFERROR(__xludf.DUMMYFUNCTION("""COMPUTED_VALUE"""),45475.0)</f>
        <v>45475</v>
      </c>
      <c r="C137" s="27" t="str">
        <f>IFERROR(__xludf.DUMMYFUNCTION("""COMPUTED_VALUE"""),"Mean Mommy Finds Your Anal Porn")</f>
        <v>Mean Mommy Finds Your Anal Porn</v>
      </c>
      <c r="D137" s="27" t="str">
        <f>IFERROR(__xludf.DUMMYFUNCTION("""COMPUTED_VALUE"""),"Your mother finds your anal incest porn collection and decides to punish you...is it really punishment? ")</f>
        <v>Your mother finds your anal incest porn collection and decides to punish you...is it really punishment? </v>
      </c>
      <c r="E137" s="27" t="str">
        <f>IFERROR(__xludf.DUMMYFUNCTION("""COMPUTED_VALUE"""),"incest, MDlb, anal, scat")</f>
        <v>incest, MDlb, anal, scat</v>
      </c>
    </row>
    <row r="138">
      <c r="A138" s="52">
        <f>IFERROR(__xludf.DUMMYFUNCTION("""COMPUTED_VALUE"""),639.0)</f>
        <v>639</v>
      </c>
      <c r="B138" s="51">
        <f>IFERROR(__xludf.DUMMYFUNCTION("""COMPUTED_VALUE"""),45476.0)</f>
        <v>45476</v>
      </c>
      <c r="C138" s="27" t="str">
        <f>IFERROR(__xludf.DUMMYFUNCTION("""COMPUTED_VALUE"""),"Kink FM Confession")</f>
        <v>Kink FM Confession</v>
      </c>
      <c r="D138" s="27" t="str">
        <f>IFERROR(__xludf.DUMMYFUNCTION("""COMPUTED_VALUE"""),"It's Kink FM radio and you are tuning into Kinky Confessions. Tonight's confession is quite juicy and taboo.")</f>
        <v>It's Kink FM radio and you are tuning into Kinky Confessions. Tonight's confession is quite juicy and taboo.</v>
      </c>
      <c r="E138" s="27" t="str">
        <f>IFERROR(__xludf.DUMMYFUNCTION("""COMPUTED_VALUE"""),"incest, accomplice, MDlg, watersports, breeding")</f>
        <v>incest, accomplice, MDlg, watersports, breeding</v>
      </c>
    </row>
    <row r="139">
      <c r="A139" s="52">
        <f>IFERROR(__xludf.DUMMYFUNCTION("""COMPUTED_VALUE"""),644.0)</f>
        <v>644</v>
      </c>
      <c r="B139" s="51">
        <f>IFERROR(__xludf.DUMMYFUNCTION("""COMPUTED_VALUE"""),45491.0)</f>
        <v>45491</v>
      </c>
      <c r="C139" s="27" t="str">
        <f>IFERROR(__xludf.DUMMYFUNCTION("""COMPUTED_VALUE"""),"Birth of a P Mom Pt 2")</f>
        <v>Birth of a P Mom Pt 2</v>
      </c>
      <c r="D139" s="27" t="str">
        <f>IFERROR(__xludf.DUMMYFUNCTION("""COMPUTED_VALUE"""),"The newly formed perv mom expresses her love of perversions and love of her son and plans for the future. ")</f>
        <v>The newly formed perv mom expresses her love of perversions and love of her son and plans for the future. </v>
      </c>
      <c r="E139" s="27" t="str">
        <f>IFERROR(__xludf.DUMMYFUNCTION("""COMPUTED_VALUE"""),"incest, sibling, MDlb, MDlg, beast, misogyny")</f>
        <v>incest, sibling, MDlb, MDlg, beast, misogyny</v>
      </c>
    </row>
    <row r="140">
      <c r="A140" s="52">
        <f>IFERROR(__xludf.DUMMYFUNCTION("""COMPUTED_VALUE"""),648.0)</f>
        <v>648</v>
      </c>
      <c r="B140" s="51">
        <f>IFERROR(__xludf.DUMMYFUNCTION("""COMPUTED_VALUE"""),45502.0)</f>
        <v>45502</v>
      </c>
      <c r="C140" s="27" t="str">
        <f>IFERROR(__xludf.DUMMYFUNCTION("""COMPUTED_VALUE"""),"Dad &amp; Daughter Compromise")</f>
        <v>Dad &amp; Daughter Compromise</v>
      </c>
      <c r="D140" s="27" t="str">
        <f>IFERROR(__xludf.DUMMYFUNCTION("""COMPUTED_VALUE"""),"To avoid a certain punishment, a daughter agrees to have forbidden sex. ")</f>
        <v>To avoid a certain punishment, a daughter agrees to have forbidden sex. </v>
      </c>
      <c r="E140" s="27" t="str">
        <f>IFERROR(__xludf.DUMMYFUNCTION("""COMPUTED_VALUE"""),"incest, DDlg, consensual, oral, missionary, creampie")</f>
        <v>incest, DDlg, consensual, oral, missionary, creampie</v>
      </c>
    </row>
    <row r="141">
      <c r="A141" s="52">
        <f>IFERROR(__xludf.DUMMYFUNCTION("""COMPUTED_VALUE"""),649.0)</f>
        <v>649</v>
      </c>
      <c r="B141" s="51">
        <f>IFERROR(__xludf.DUMMYFUNCTION("""COMPUTED_VALUE"""),45505.0)</f>
        <v>45505</v>
      </c>
      <c r="C141" s="27" t="str">
        <f>IFERROR(__xludf.DUMMYFUNCTION("""COMPUTED_VALUE"""),"Bitch Mom's Punishment")</f>
        <v>Bitch Mom's Punishment</v>
      </c>
      <c r="D141" s="27" t="str">
        <f>IFERROR(__xludf.DUMMYFUNCTION("""COMPUTED_VALUE"""),"A mother and her son got into an argument and this bitch mom gets put in her place. ")</f>
        <v>A mother and her son got into an argument and this bitch mom gets put in her place. </v>
      </c>
      <c r="E141" s="27" t="str">
        <f>IFERROR(__xludf.DUMMYFUNCTION("""COMPUTED_VALUE"""),"MDlb, incest, breeding, noncon")</f>
        <v>MDlb, incest, breeding, noncon</v>
      </c>
    </row>
    <row r="142">
      <c r="A142" s="52">
        <f>IFERROR(__xludf.DUMMYFUNCTION("""COMPUTED_VALUE"""),652.0)</f>
        <v>652</v>
      </c>
      <c r="B142" s="51">
        <f>IFERROR(__xludf.DUMMYFUNCTION("""COMPUTED_VALUE"""),45510.0)</f>
        <v>45510</v>
      </c>
      <c r="C142" s="27" t="str">
        <f>IFERROR(__xludf.DUMMYFUNCTION("""COMPUTED_VALUE"""),"Trippy &amp; Perverted Club Experience")</f>
        <v>Trippy &amp; Perverted Club Experience</v>
      </c>
      <c r="D142" s="27" t="str">
        <f>IFERROR(__xludf.DUMMYFUNCTION("""COMPUTED_VALUE"""),"A father visits a hypno club for the first time and I grab hold of him and send him into a drug induced dive into depravity. ")</f>
        <v>A father visits a hypno club for the first time and I grab hold of him and send him into a drug induced dive into depravity. </v>
      </c>
      <c r="E142" s="27" t="str">
        <f>IFERROR(__xludf.DUMMYFUNCTION("""COMPUTED_VALUE"""),"hypno, DDlg, accomplice, incest, femdom")</f>
        <v>hypno, DDlg, accomplice, incest, femdom</v>
      </c>
    </row>
    <row r="143">
      <c r="A143" s="52">
        <f>IFERROR(__xludf.DUMMYFUNCTION("""COMPUTED_VALUE"""),659.0)</f>
        <v>659</v>
      </c>
      <c r="B143" s="51">
        <f>IFERROR(__xludf.DUMMYFUNCTION("""COMPUTED_VALUE"""),45526.0)</f>
        <v>45526</v>
      </c>
      <c r="C143" s="27" t="str">
        <f>IFERROR(__xludf.DUMMYFUNCTION("""COMPUTED_VALUE"""),"Incest Baby Shower")</f>
        <v>Incest Baby Shower</v>
      </c>
      <c r="D143" s="27" t="str">
        <f>IFERROR(__xludf.DUMMYFUNCTION("""COMPUTED_VALUE"""),"Two baby showers are thrown within a close, uniquely sexual family. ")</f>
        <v>Two baby showers are thrown within a close, uniquely sexual family. </v>
      </c>
      <c r="E143" s="27" t="str">
        <f>IFERROR(__xludf.DUMMYFUNCTION("""COMPUTED_VALUE"""),"incest, DDlg, accomplice, breeding, MDlb, fisting, strap on")</f>
        <v>incest, DDlg, accomplice, breeding, MDlb, fisting, strap on</v>
      </c>
    </row>
    <row r="144">
      <c r="A144" s="52">
        <f>IFERROR(__xludf.DUMMYFUNCTION("""COMPUTED_VALUE"""),670.0)</f>
        <v>670</v>
      </c>
      <c r="B144" s="51">
        <f>IFERROR(__xludf.DUMMYFUNCTION("""COMPUTED_VALUE"""),45544.0)</f>
        <v>45544</v>
      </c>
      <c r="C144" s="27" t="str">
        <f>IFERROR(__xludf.DUMMYFUNCTION("""COMPUTED_VALUE"""),"Mommy Takes Control of Beta")</f>
        <v>Mommy Takes Control of Beta</v>
      </c>
      <c r="D144" s="27" t="str">
        <f>IFERROR(__xludf.DUMMYFUNCTION("""COMPUTED_VALUE"""),"I've noticed and kept it a secret that I know how much your jerk off to porn. I tapped into your computer to keep a close eye on your habits. Today I noticed you haven't logged in and watched porn so I decide to call you on my lunch break and reveal every"&amp;"thing and encourage your addiction. To keep you ultimately controlled and dependent on me and porn, I show you how much of a beta pornosexual you are and should remain that way forever. ")</f>
        <v>I've noticed and kept it a secret that I know how much your jerk off to porn. I tapped into your computer to keep a close eye on your habits. Today I noticed you haven't logged in and watched porn so I decide to call you on my lunch break and reveal everything and encourage your addiction. To keep you ultimately controlled and dependent on me and porn, I show you how much of a beta pornosexual you are and should remain that way forever. </v>
      </c>
      <c r="E144" s="27" t="str">
        <f>IFERROR(__xludf.DUMMYFUNCTION("""COMPUTED_VALUE"""),"non ageplay, MDlb, incest, humiliation, beta humiliation, pornosexual, gooner, JOI, cum countdown")</f>
        <v>non ageplay, MDlb, incest, humiliation, beta humiliation, pornosexual, gooner, JOI, cum countdown</v>
      </c>
    </row>
    <row r="145">
      <c r="A145" s="52">
        <f>IFERROR(__xludf.DUMMYFUNCTION("""COMPUTED_VALUE"""),674.0)</f>
        <v>674</v>
      </c>
      <c r="B145" s="51">
        <f>IFERROR(__xludf.DUMMYFUNCTION("""COMPUTED_VALUE"""),45552.0)</f>
        <v>45552</v>
      </c>
      <c r="C145" s="27" t="str">
        <f>IFERROR(__xludf.DUMMYFUNCTION("""COMPUTED_VALUE"""),"Pervy Family Streaming Pt 2")</f>
        <v>Pervy Family Streaming Pt 2</v>
      </c>
      <c r="D145" s="27" t="str">
        <f>IFERROR(__xludf.DUMMYFUNCTION("""COMPUTED_VALUE"""),"A mom live streams her family's vacation, chock full of perversions and exhibitionism. ")</f>
        <v>A mom live streams her family's vacation, chock full of perversions and exhibitionism. </v>
      </c>
      <c r="E145" s="27" t="str">
        <f>IFERROR(__xludf.DUMMYFUNCTION("""COMPUTED_VALUE"""),"incest, beast, encouraged bi, public play, watersports, bbc")</f>
        <v>incest, beast, encouraged bi, public play, watersports, bbc</v>
      </c>
    </row>
    <row r="146">
      <c r="A146" s="52">
        <f>IFERROR(__xludf.DUMMYFUNCTION("""COMPUTED_VALUE"""),685.0)</f>
        <v>685</v>
      </c>
      <c r="B146" s="51">
        <f>IFERROR(__xludf.DUMMYFUNCTION("""COMPUTED_VALUE"""),45572.0)</f>
        <v>45572</v>
      </c>
      <c r="C146" s="27" t="str">
        <f>IFERROR(__xludf.DUMMYFUNCTION("""COMPUTED_VALUE"""),"Naughty Neighbors Pt 4")</f>
        <v>Naughty Neighbors Pt 4</v>
      </c>
      <c r="D146" s="27" t="str">
        <f>IFERROR(__xludf.DUMMYFUNCTION("""COMPUTED_VALUE"""),"A mother gives her daughter a valuable lesson while coaching her through making captions of her sister.")</f>
        <v>A mother gives her daughter a valuable lesson while coaching her through making captions of her sister.</v>
      </c>
      <c r="E146" s="27" t="str">
        <f>IFERROR(__xludf.DUMMYFUNCTION("""COMPUTED_VALUE"""),"misogyny, gender traitor, incest, DDlg, degradation, submissive sluts")</f>
        <v>misogyny, gender traitor, incest, DDlg, degradation, submissive sluts</v>
      </c>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28.25"/>
    <col customWidth="1" min="4" max="4" width="32.63"/>
    <col customWidth="1" min="5" max="5" width="34.25"/>
  </cols>
  <sheetData>
    <row r="1">
      <c r="A1" s="45"/>
      <c r="B1" s="46" t="s">
        <v>2013</v>
      </c>
      <c r="C1" s="27"/>
      <c r="D1" s="27"/>
      <c r="E1" s="27"/>
      <c r="F1" s="47" t="s">
        <v>32</v>
      </c>
      <c r="G1" s="58"/>
      <c r="H1" s="58"/>
      <c r="I1" s="58"/>
      <c r="J1" s="58"/>
      <c r="K1" s="58"/>
      <c r="L1" s="58"/>
      <c r="M1" s="58"/>
      <c r="N1" s="58"/>
      <c r="O1" s="58"/>
      <c r="P1" s="58"/>
      <c r="Q1" s="58"/>
      <c r="R1" s="58"/>
      <c r="S1" s="58"/>
      <c r="T1" s="58"/>
      <c r="U1" s="58"/>
      <c r="V1" s="58"/>
      <c r="W1" s="58"/>
      <c r="X1" s="58"/>
      <c r="Y1" s="58"/>
      <c r="Z1" s="58"/>
    </row>
    <row r="2">
      <c r="A2" s="45"/>
      <c r="C2" s="27"/>
      <c r="D2" s="27"/>
      <c r="E2" s="27"/>
      <c r="F2" s="58"/>
      <c r="G2" s="58"/>
      <c r="H2" s="58"/>
      <c r="I2" s="58"/>
      <c r="J2" s="58"/>
      <c r="K2" s="58"/>
      <c r="L2" s="58"/>
      <c r="M2" s="58"/>
      <c r="N2" s="58"/>
      <c r="O2" s="58"/>
      <c r="P2" s="58"/>
      <c r="Q2" s="58"/>
      <c r="R2" s="58"/>
      <c r="S2" s="58"/>
      <c r="T2" s="58"/>
      <c r="U2" s="58"/>
      <c r="V2" s="58"/>
      <c r="W2" s="58"/>
      <c r="X2" s="58"/>
      <c r="Y2" s="58"/>
      <c r="Z2" s="58"/>
    </row>
    <row r="3">
      <c r="A3" s="45"/>
      <c r="B3" s="12" t="s">
        <v>2011</v>
      </c>
      <c r="C3" s="27"/>
      <c r="D3" s="27"/>
      <c r="E3" s="27"/>
      <c r="F3" s="58"/>
      <c r="G3" s="58"/>
      <c r="H3" s="58"/>
      <c r="I3" s="58"/>
      <c r="J3" s="58"/>
      <c r="K3" s="58"/>
      <c r="L3" s="58"/>
      <c r="M3" s="58"/>
      <c r="N3" s="58"/>
      <c r="O3" s="58"/>
      <c r="P3" s="58"/>
      <c r="Q3" s="58"/>
      <c r="R3" s="58"/>
      <c r="S3" s="58"/>
      <c r="T3" s="58"/>
      <c r="U3" s="58"/>
      <c r="V3" s="58"/>
      <c r="W3" s="58"/>
      <c r="X3" s="58"/>
      <c r="Y3" s="58"/>
      <c r="Z3" s="58"/>
    </row>
    <row r="4">
      <c r="A4" s="45"/>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0" t="str">
        <f>IFERROR(__xludf.DUMMYFUNCTION("filter(Full!A1:E1002, regexmatch(Full!E1:E1002, ""(?i)encouragement""))"),"Maisie Moon's Extreme Audio Vault")</f>
        <v>Maisie Moon's Extreme Audio Vault</v>
      </c>
      <c r="B6" s="52"/>
      <c r="C6" s="27"/>
      <c r="D6" s="27"/>
      <c r="E6" s="27" t="str">
        <f>IFERROR(__xludf.DUMMYFUNCTION("""COMPUTED_VALUE"""),"Disclaimer: The audio list belos is all fantasy &amp; roleplay and was made for adult 
entertainment, is a work of fiction, and nothing is based in reality. 
The audio is not intended to be used as encouragement or instruction. 
The creator does not condone t"&amp;"he activities")</f>
        <v>Disclaimer: The audio list belos is all fantasy &amp; roleplay and was made for adult 
entertainment, is a work of fiction, and nothing is based in reality. 
The audio is not intended to be used as encouragement or instruction. 
The creator does not condone the activities</v>
      </c>
    </row>
    <row r="7">
      <c r="A7" s="52">
        <f>IFERROR(__xludf.DUMMYFUNCTION("""COMPUTED_VALUE"""),17.0)</f>
        <v>17</v>
      </c>
      <c r="B7" s="51">
        <f>IFERROR(__xludf.DUMMYFUNCTION("""COMPUTED_VALUE"""),44740.0)</f>
        <v>44740</v>
      </c>
      <c r="C7" s="27" t="str">
        <f>IFERROR(__xludf.DUMMYFUNCTION("""COMPUTED_VALUE"""),"Accomplice Improv")</f>
        <v>Accomplice Improv</v>
      </c>
      <c r="D7" s="27" t="str">
        <f>IFERROR(__xludf.DUMMYFUNCTION("""COMPUTED_VALUE"""),"Me and you (listener) are in my car while I talk about fantasies ")</f>
        <v>Me and you (listener) are in my car while I talk about fantasies </v>
      </c>
      <c r="E7" s="27" t="str">
        <f>IFERROR(__xludf.DUMMYFUNCTION("""COMPUTED_VALUE"""),"Voyeur, accomplice, oral sex, creampie, pervert encouragement")</f>
        <v>Voyeur, accomplice, oral sex, creampie, pervert encouragement</v>
      </c>
    </row>
    <row r="8">
      <c r="A8" s="52">
        <f>IFERROR(__xludf.DUMMYFUNCTION("""COMPUTED_VALUE"""),19.0)</f>
        <v>19</v>
      </c>
      <c r="B8" s="51">
        <f>IFERROR(__xludf.DUMMYFUNCTION("""COMPUTED_VALUE"""),44743.0)</f>
        <v>44743</v>
      </c>
      <c r="C8" s="27" t="str">
        <f>IFERROR(__xludf.DUMMYFUNCTION("""COMPUTED_VALUE"""),"Silent One Way Call: Dirty Ole AP")</f>
        <v>Silent One Way Call: Dirty Ole AP</v>
      </c>
      <c r="D8" s="27" t="str">
        <f>IFERROR(__xludf.DUMMYFUNCTION("""COMPUTED_VALUE"""),"Silent one-way call where the customer request just some filthy, straight to the point AP talk, chock full of trigger words.")</f>
        <v>Silent one-way call where the customer request just some filthy, straight to the point AP talk, chock full of trigger words.</v>
      </c>
      <c r="E8" s="27" t="str">
        <f>IFERROR(__xludf.DUMMYFUNCTION("""COMPUTED_VALUE"""),"JOI-ish, daddy cock, perverted daddy, obsessed daddy, pervert encouragement")</f>
        <v>JOI-ish, daddy cock, perverted daddy, obsessed daddy, pervert encouragement</v>
      </c>
    </row>
    <row r="9">
      <c r="A9" s="52">
        <f>IFERROR(__xludf.DUMMYFUNCTION("""COMPUTED_VALUE"""),20.0)</f>
        <v>20</v>
      </c>
      <c r="B9" s="51">
        <f>IFERROR(__xludf.DUMMYFUNCTION("""COMPUTED_VALUE"""),44743.0)</f>
        <v>44743</v>
      </c>
      <c r="C9" s="27" t="str">
        <f>IFERROR(__xludf.DUMMYFUNCTION("""COMPUTED_VALUE"""),"Silent One-Way Call: Pervy Girlfriend Experience")</f>
        <v>Silent One-Way Call: Pervy Girlfriend Experience</v>
      </c>
      <c r="D9" s="27" t="str">
        <f>IFERROR(__xludf.DUMMYFUNCTION("""COMPUTED_VALUE"""),"Real silent call where I improve the following premise: your gf finds your filthy porn history and encourages you to stay nasty")</f>
        <v>Real silent call where I improve the following premise: your gf finds your filthy porn history and encourages you to stay nasty</v>
      </c>
      <c r="E9" s="27" t="str">
        <f>IFERROR(__xludf.DUMMYFUNCTION("""COMPUTED_VALUE"""),"perverted girlfriend experience, accomplice, rough, choke, femdom, corrupt, pervert encouragement, snuff")</f>
        <v>perverted girlfriend experience, accomplice, rough, choke, femdom, corrupt, pervert encouragement, snuff</v>
      </c>
    </row>
    <row r="10">
      <c r="A10" s="52">
        <f>IFERROR(__xludf.DUMMYFUNCTION("""COMPUTED_VALUE"""),29.0)</f>
        <v>29</v>
      </c>
      <c r="B10" s="51">
        <f>IFERROR(__xludf.DUMMYFUNCTION("""COMPUTED_VALUE"""),44747.0)</f>
        <v>44747</v>
      </c>
      <c r="C10" s="27" t="str">
        <f>IFERROR(__xludf.DUMMYFUNCTION("""COMPUTED_VALUE"""),"Custom: Encourage &amp; Instruct")</f>
        <v>Custom: Encourage &amp; Instruct</v>
      </c>
      <c r="D10" s="27" t="str">
        <f>IFERROR(__xludf.DUMMYFUNCTION("""COMPUTED_VALUE"""),"Listen in while I encourage and instruct you to stroke to fantasy based images.")</f>
        <v>Listen in while I encourage and instruct you to stroke to fantasy based images.</v>
      </c>
      <c r="E10" s="27" t="str">
        <f>IFERROR(__xludf.DUMMYFUNCTION("""COMPUTED_VALUE"""),"JOI-ish, bukkake, oral, anal, facial, going lower and deeper, pervert encouragement")</f>
        <v>JOI-ish, bukkake, oral, anal, facial, going lower and deeper, pervert encouragement</v>
      </c>
    </row>
    <row r="11">
      <c r="A11" s="52">
        <f>IFERROR(__xludf.DUMMYFUNCTION("""COMPUTED_VALUE"""),39.0)</f>
        <v>39</v>
      </c>
      <c r="B11" s="51">
        <f>IFERROR(__xludf.DUMMYFUNCTION("""COMPUTED_VALUE"""),44754.0)</f>
        <v>44754</v>
      </c>
      <c r="C11" s="27" t="str">
        <f>IFERROR(__xludf.DUMMYFUNCTION("""COMPUTED_VALUE"""),"Custom Fill: DDlg Encouragement")</f>
        <v>Custom Fill: DDlg Encouragement</v>
      </c>
      <c r="D11" s="27" t="str">
        <f>IFERROR(__xludf.DUMMYFUNCTION("""COMPUTED_VALUE"""),"An audio story where I encourage DDlg and incest sex. ")</f>
        <v>An audio story where I encourage DDlg and incest sex. </v>
      </c>
      <c r="E11" s="27" t="str">
        <f>IFERROR(__xludf.DUMMYFUNCTION("""COMPUTED_VALUE"""),"sensual, pervert encouragement, love making, breeding, incest, ddlg")</f>
        <v>sensual, pervert encouragement, love making, breeding, incest, ddlg</v>
      </c>
    </row>
    <row r="12">
      <c r="A12" s="52">
        <f>IFERROR(__xludf.DUMMYFUNCTION("""COMPUTED_VALUE"""),50.0)</f>
        <v>50</v>
      </c>
      <c r="B12" s="51">
        <f>IFERROR(__xludf.DUMMYFUNCTION("""COMPUTED_VALUE"""),44762.0)</f>
        <v>44762</v>
      </c>
      <c r="C12" s="27" t="str">
        <f>IFERROR(__xludf.DUMMYFUNCTION("""COMPUTED_VALUE"""),"Silent Call: Pervert JOI")</f>
        <v>Silent Call: Pervert JOI</v>
      </c>
      <c r="D12" s="27" t="str">
        <f>IFERROR(__xludf.DUMMYFUNCTION("""COMPUTED_VALUE"""),"You can't resist your nasty girlfriend. Stroke your cock JOI-ish style while I tell you exactly you are and what you desire and crave.")</f>
        <v>You can't resist your nasty girlfriend. Stroke your cock JOI-ish style while I tell you exactly you are and what you desire and crave.</v>
      </c>
      <c r="E12" s="27" t="str">
        <f>IFERROR(__xludf.DUMMYFUNCTION("""COMPUTED_VALUE"""),"JOI, deepthroat, accomplice, perverted girlfriend experience, pervert encouragement")</f>
        <v>JOI, deepthroat, accomplice, perverted girlfriend experience, pervert encouragement</v>
      </c>
    </row>
    <row r="13">
      <c r="A13" s="52">
        <f>IFERROR(__xludf.DUMMYFUNCTION("""COMPUTED_VALUE"""),53.0)</f>
        <v>53</v>
      </c>
      <c r="B13" s="51">
        <f>IFERROR(__xludf.DUMMYFUNCTION("""COMPUTED_VALUE"""),44768.0)</f>
        <v>44768</v>
      </c>
      <c r="C13" s="27" t="str">
        <f>IFERROR(__xludf.DUMMYFUNCTION("""COMPUTED_VALUE"""),"Face It: You're a Sick Fuck")</f>
        <v>Face It: You're a Sick Fuck</v>
      </c>
      <c r="D13" s="27" t="str">
        <f>IFERROR(__xludf.DUMMYFUNCTION("""COMPUTED_VALUE"""),"You and I both know exactly who and what you are. Listen to me go deep as I shine that light in the darkest corners. ")</f>
        <v>You and I both know exactly who and what you are. Listen to me go deep as I shine that light in the darkest corners. </v>
      </c>
      <c r="E13" s="27" t="str">
        <f>IFERROR(__xludf.DUMMYFUNCTION("""COMPUTED_VALUE""")," intimate, voyeur, urges &amp; desires, exposed, I own you, perv puppet, pervert encouragement")</f>
        <v> intimate, voyeur, urges &amp; desires, exposed, I own you, perv puppet, pervert encouragement</v>
      </c>
    </row>
    <row r="14">
      <c r="A14" s="52">
        <f>IFERROR(__xludf.DUMMYFUNCTION("""COMPUTED_VALUE"""),54.0)</f>
        <v>54</v>
      </c>
      <c r="B14" s="51">
        <f>IFERROR(__xludf.DUMMYFUNCTION("""COMPUTED_VALUE"""),44769.0)</f>
        <v>44769</v>
      </c>
      <c r="C14" s="27" t="str">
        <f>IFERROR(__xludf.DUMMYFUNCTION("""COMPUTED_VALUE"""),"Silent call: Girlfriend Accomplice")</f>
        <v>Silent call: Girlfriend Accomplice</v>
      </c>
      <c r="D14" s="27" t="str">
        <f>IFERROR(__xludf.DUMMYFUNCTION("""COMPUTED_VALUE"""),"As your girlfriend, I'm quite sick of jerking you off, talking about cuties, so let's just make it a reality. I pay/force a girl you're obsessed with to come over and be your toy. ")</f>
        <v>As your girlfriend, I'm quite sick of jerking you off, talking about cuties, so let's just make it a reality. I pay/force a girl you're obsessed with to come over and be your toy. </v>
      </c>
      <c r="E14" s="27" t="str">
        <f>IFERROR(__xludf.DUMMYFUNCTION("""COMPUTED_VALUE"""),"pervy gfe, tits, cunnilingus, deep throat, accomplice, pervert encouragement")</f>
        <v>pervy gfe, tits, cunnilingus, deep throat, accomplice, pervert encouragement</v>
      </c>
    </row>
    <row r="15">
      <c r="A15" s="52">
        <f>IFERROR(__xludf.DUMMYFUNCTION("""COMPUTED_VALUE"""),55.0)</f>
        <v>55</v>
      </c>
      <c r="B15" s="51">
        <f>IFERROR(__xludf.DUMMYFUNCTION("""COMPUTED_VALUE"""),44769.0)</f>
        <v>44769</v>
      </c>
      <c r="C15" s="27" t="str">
        <f>IFERROR(__xludf.DUMMYFUNCTION("""COMPUTED_VALUE"""),"Custom Fill: Pervert JOI w/Fleshlight")</f>
        <v>Custom Fill: Pervert JOI w/Fleshlight</v>
      </c>
      <c r="D15" s="27" t="str">
        <f>IFERROR(__xludf.DUMMYFUNCTION("""COMPUTED_VALUE"""),"Get your fleshlight (or your hand) on your cock, close your eyes, and listen to my JOI and encourage your perv fantasies. ")</f>
        <v>Get your fleshlight (or your hand) on your cock, close your eyes, and listen to my JOI and encourage your perv fantasies. </v>
      </c>
      <c r="E15" s="27" t="str">
        <f>IFERROR(__xludf.DUMMYFUNCTION("""COMPUTED_VALUE"""),"JOI, , fleshlight, good boy, encouragement, fantasize about blowjob, p in v, and anal, edge, cum countdown, pervert encouragement, accomplice")</f>
        <v>JOI, , fleshlight, good boy, encouragement, fantasize about blowjob, p in v, and anal, edge, cum countdown, pervert encouragement, accomplice</v>
      </c>
    </row>
    <row r="16">
      <c r="A16" s="52">
        <f>IFERROR(__xludf.DUMMYFUNCTION("""COMPUTED_VALUE"""),57.0)</f>
        <v>57</v>
      </c>
      <c r="B16" s="51">
        <f>IFERROR(__xludf.DUMMYFUNCTION("""COMPUTED_VALUE"""),44771.0)</f>
        <v>44771</v>
      </c>
      <c r="C16" s="27" t="str">
        <f>IFERROR(__xludf.DUMMYFUNCTION("""COMPUTED_VALUE"""),"Silent Call: Pervert Gooner Therapy")</f>
        <v>Silent Call: Pervert Gooner Therapy</v>
      </c>
      <c r="D16" s="27" t="str">
        <f>IFERROR(__xludf.DUMMYFUNCTION("""COMPUTED_VALUE"""),"This is just a ramble of my soft, feminine voice chock full of trigger words. ")</f>
        <v>This is just a ramble of my soft, feminine voice chock full of trigger words. </v>
      </c>
      <c r="E16" s="27" t="str">
        <f>IFERROR(__xludf.DUMMYFUNCTION("""COMPUTED_VALUE""")," trigger word heavy, JOI-ish, cum countdown, gooning, pervert encouragement")</f>
        <v> trigger word heavy, JOI-ish, cum countdown, gooning, pervert encouragement</v>
      </c>
    </row>
    <row r="17">
      <c r="A17" s="52">
        <f>IFERROR(__xludf.DUMMYFUNCTION("""COMPUTED_VALUE"""),61.0)</f>
        <v>61</v>
      </c>
      <c r="B17" s="51">
        <f>IFERROR(__xludf.DUMMYFUNCTION("""COMPUTED_VALUE"""),44772.0)</f>
        <v>44772</v>
      </c>
      <c r="C17" s="27" t="str">
        <f>IFERROR(__xludf.DUMMYFUNCTION("""COMPUTED_VALUE"""),"Silent Call: Consensual Perv Sex")</f>
        <v>Silent Call: Consensual Perv Sex</v>
      </c>
      <c r="D17" s="27" t="str">
        <f>IFERROR(__xludf.DUMMYFUNCTION("""COMPUTED_VALUE"""),"You and girl start getting hot and heavy and both of you just can't help it. You go down the forbidden road. My recording cut off towards the end so sorry for the interruption there. ")</f>
        <v>You and girl start getting hot and heavy and both of you just can't help it. You go down the forbidden road. My recording cut off towards the end so sorry for the interruption there. </v>
      </c>
      <c r="E17" s="27" t="str">
        <f>IFERROR(__xludf.DUMMYFUNCTION("""COMPUTED_VALUE""")," sensual, slow build, pussy grinding, no oral, missionary, cowgirl, creampie, accomplice, pervert encouragement")</f>
        <v> sensual, slow build, pussy grinding, no oral, missionary, cowgirl, creampie, accomplice, pervert encouragement</v>
      </c>
    </row>
    <row r="18">
      <c r="A18" s="52">
        <f>IFERROR(__xludf.DUMMYFUNCTION("""COMPUTED_VALUE"""),65.0)</f>
        <v>65</v>
      </c>
      <c r="B18" s="51">
        <f>IFERROR(__xludf.DUMMYFUNCTION("""COMPUTED_VALUE"""),44774.0)</f>
        <v>44774</v>
      </c>
      <c r="C18" s="27" t="str">
        <f>IFERROR(__xludf.DUMMYFUNCTION("""COMPUTED_VALUE"""),"Silent Call: More Consensual Perv Sex")</f>
        <v>Silent Call: More Consensual Perv Sex</v>
      </c>
      <c r="D18" s="27" t="str">
        <f>IFERROR(__xludf.DUMMYFUNCTION("""COMPUTED_VALUE"""),"She comes in your bed in her nightie, cuddles up to you, and then gets on top of you to hug you more. This hottie wants to have sex with you. ")</f>
        <v>She comes in your bed in her nightie, cuddles up to you, and then gets on top of you to hug you more. This hottie wants to have sex with you. </v>
      </c>
      <c r="E18" s="27" t="str">
        <f>IFERROR(__xludf.DUMMYFUNCTION("""COMPUTED_VALUE"""),"sensual, consensual sex, no oral, missionary, cowgirl, doggie, secret, pervert encouragement")</f>
        <v>sensual, consensual sex, no oral, missionary, cowgirl, doggie, secret, pervert encouragement</v>
      </c>
    </row>
    <row r="19">
      <c r="A19" s="52">
        <f>IFERROR(__xludf.DUMMYFUNCTION("""COMPUTED_VALUE"""),70.0)</f>
        <v>70</v>
      </c>
      <c r="B19" s="51">
        <f>IFERROR(__xludf.DUMMYFUNCTION("""COMPUTED_VALUE"""),44777.0)</f>
        <v>44777</v>
      </c>
      <c r="C19" s="27" t="str">
        <f>IFERROR(__xludf.DUMMYFUNCTION("""COMPUTED_VALUE"""),"Silent Call/Live Script Fill: Carnal Lust")</f>
        <v>Silent Call/Live Script Fill: Carnal Lust</v>
      </c>
      <c r="D19" s="27" t="str">
        <f>IFERROR(__xludf.DUMMYFUNCTION("""COMPUTED_VALUE"""),"Encouraging audio to urge you to give into your carnal desires and lust for your secret fantasy. ")</f>
        <v>Encouraging audio to urge you to give into your carnal desires and lust for your secret fantasy. </v>
      </c>
      <c r="E19" s="27" t="str">
        <f>IFERROR(__xludf.DUMMYFUNCTION("""COMPUTED_VALUE"""),"consensual, sensual, temptation, turning her into nympho, pervert encouragement")</f>
        <v>consensual, sensual, temptation, turning her into nympho, pervert encouragement</v>
      </c>
    </row>
    <row r="20">
      <c r="A20" s="52">
        <f>IFERROR(__xludf.DUMMYFUNCTION("""COMPUTED_VALUE"""),72.0)</f>
        <v>72</v>
      </c>
      <c r="B20" s="51">
        <f>IFERROR(__xludf.DUMMYFUNCTION("""COMPUTED_VALUE"""),44778.0)</f>
        <v>44778</v>
      </c>
      <c r="C20" s="27" t="str">
        <f>IFERROR(__xludf.DUMMYFUNCTION("""COMPUTED_VALUE"""),"Silent Call: Pervert Gooner Therapy Pt 2")</f>
        <v>Silent Call: Pervert Gooner Therapy Pt 2</v>
      </c>
      <c r="D20" s="27" t="str">
        <f>IFERROR(__xludf.DUMMYFUNCTION("""COMPUTED_VALUE"""),"Just lay back and take that cock out while I help feed your desires and urges. ")</f>
        <v>Just lay back and take that cock out while I help feed your desires and urges. </v>
      </c>
      <c r="E20" s="27" t="str">
        <f>IFERROR(__xludf.DUMMYFUNCTION("""COMPUTED_VALUE"""),"Cum countdown ending, trigger words, encouraging your fantasies, pervert encouragement")</f>
        <v>Cum countdown ending, trigger words, encouraging your fantasies, pervert encouragement</v>
      </c>
    </row>
    <row r="21">
      <c r="A21" s="52">
        <f>IFERROR(__xludf.DUMMYFUNCTION("""COMPUTED_VALUE"""),76.0)</f>
        <v>76</v>
      </c>
      <c r="B21" s="51">
        <f>IFERROR(__xludf.DUMMYFUNCTION("""COMPUTED_VALUE"""),44782.0)</f>
        <v>44782</v>
      </c>
      <c r="C21" s="27" t="str">
        <f>IFERROR(__xludf.DUMMYFUNCTION("""COMPUTED_VALUE"""),"Silent Call: Daddy's Extreme Doll JOI")</f>
        <v>Silent Call: Daddy's Extreme Doll JOI</v>
      </c>
      <c r="D21" s="27" t="str">
        <f>IFERROR(__xludf.DUMMYFUNCTION("""COMPUTED_VALUE"""),"You've got a giant, violent fuckstick. Let me guide you through jerking it off. ")</f>
        <v>You've got a giant, violent fuckstick. Let me guide you through jerking it off. </v>
      </c>
      <c r="E21" s="27" t="str">
        <f>IFERROR(__xludf.DUMMYFUNCTION("""COMPUTED_VALUE"""),": perverted gfe, JOI, little ramblly but trigger heavy, cum countdown, pervert encouragement")</f>
        <v>: perverted gfe, JOI, little ramblly but trigger heavy, cum countdown, pervert encouragement</v>
      </c>
    </row>
    <row r="22">
      <c r="A22" s="52">
        <f>IFERROR(__xludf.DUMMYFUNCTION("""COMPUTED_VALUE"""),81.0)</f>
        <v>81</v>
      </c>
      <c r="B22" s="51">
        <f>IFERROR(__xludf.DUMMYFUNCTION("""COMPUTED_VALUE"""),44789.0)</f>
        <v>44789</v>
      </c>
      <c r="C22" s="27" t="str">
        <f>IFERROR(__xludf.DUMMYFUNCTION("""COMPUTED_VALUE"""),"Commission Fill: She Goes Lower")</f>
        <v>Commission Fill: She Goes Lower</v>
      </c>
      <c r="D22" s="27" t="str">
        <f>IFERROR(__xludf.DUMMYFUNCTION("""COMPUTED_VALUE"""),"You think you're just hooking up with an adult coworker...until she reveals a shocking secret, mid fuck. ")</f>
        <v>You think you're just hooking up with an adult coworker...until she reveals a shocking secret, mid fuck. </v>
      </c>
      <c r="E22" s="27" t="str">
        <f>IFERROR(__xludf.DUMMYFUNCTION("""COMPUTED_VALUE""")," seduction, kissing sounds, oral sounds, missionary, doggy style, threaten, revelation, creampie, pervert encouragement")</f>
        <v> seduction, kissing sounds, oral sounds, missionary, doggy style, threaten, revelation, creampie, pervert encouragement</v>
      </c>
    </row>
    <row r="23">
      <c r="A23" s="52">
        <f>IFERROR(__xludf.DUMMYFUNCTION("""COMPUTED_VALUE"""),82.0)</f>
        <v>82</v>
      </c>
      <c r="B23" s="51">
        <f>IFERROR(__xludf.DUMMYFUNCTION("""COMPUTED_VALUE"""),44791.0)</f>
        <v>44791</v>
      </c>
      <c r="C23" s="27" t="str">
        <f>IFERROR(__xludf.DUMMYFUNCTION("""COMPUTED_VALUE"""),"Silent Call: Lustful Forbidden Sex")</f>
        <v>Silent Call: Lustful Forbidden Sex</v>
      </c>
      <c r="D23" s="27" t="str">
        <f>IFERROR(__xludf.DUMMYFUNCTION("""COMPUTED_VALUE""")," I have you admit that you lust after something and describe what it would be like to give into your desires. ")</f>
        <v> I have you admit that you lust after something and describe what it would be like to give into your desires. </v>
      </c>
      <c r="E23" s="27" t="str">
        <f>IFERROR(__xludf.DUMMYFUNCTION("""COMPUTED_VALUE"""),"sensual, girl on top, missionary, it's so wrong but feels right, pervert encouragement")</f>
        <v>sensual, girl on top, missionary, it's so wrong but feels right, pervert encouragement</v>
      </c>
    </row>
    <row r="24">
      <c r="A24" s="52">
        <f>IFERROR(__xludf.DUMMYFUNCTION("""COMPUTED_VALUE"""),87.0)</f>
        <v>87</v>
      </c>
      <c r="B24" s="51">
        <f>IFERROR(__xludf.DUMMYFUNCTION("""COMPUTED_VALUE"""),44792.0)</f>
        <v>44792</v>
      </c>
      <c r="C24" s="27" t="str">
        <f>IFERROR(__xludf.DUMMYFUNCTION("""COMPUTED_VALUE"""),"Perv Encouragement")</f>
        <v>Perv Encouragement</v>
      </c>
      <c r="D24" s="27" t="str">
        <f>IFERROR(__xludf.DUMMYFUNCTION("""COMPUTED_VALUE"""),"I know your secret. Listen to me tell you exactly what you crave. ")</f>
        <v>I know your secret. Listen to me tell you exactly what you crave. </v>
      </c>
      <c r="E24" s="27" t="str">
        <f>IFERROR(__xludf.DUMMYFUNCTION("""COMPUTED_VALUE"""),"masturbation, JOI, extreme fantasies, pervert encouragement")</f>
        <v>masturbation, JOI, extreme fantasies, pervert encouragement</v>
      </c>
    </row>
    <row r="25">
      <c r="A25" s="52">
        <f>IFERROR(__xludf.DUMMYFUNCTION("""COMPUTED_VALUE"""),88.0)</f>
        <v>88</v>
      </c>
      <c r="B25" s="51">
        <f>IFERROR(__xludf.DUMMYFUNCTION("""COMPUTED_VALUE"""),44792.0)</f>
        <v>44792</v>
      </c>
      <c r="C25" s="27" t="str">
        <f>IFERROR(__xludf.DUMMYFUNCTION("""COMPUTED_VALUE"""),"Silent Call: Live Metronome Hypno")</f>
        <v>Silent Call: Live Metronome Hypno</v>
      </c>
      <c r="D25" s="27" t="str">
        <f>IFERROR(__xludf.DUMMYFUNCTION("""COMPUTED_VALUE""")," My filthy subject wanted some hypno popper encouragement so of course I obliged. ")</f>
        <v> My filthy subject wanted some hypno popper encouragement so of course I obliged. </v>
      </c>
      <c r="E25" s="27" t="str">
        <f>IFERROR(__xludf.DUMMYFUNCTION("""COMPUTED_VALUE"""),"hypno, poppers encouragement, get high, I've ruined you for regular sex, you're obsessed fantasizing about extreme fantasies, you would do anything for me, I'm mindfucking you, it turns me on to corrupt you, snuff")</f>
        <v>hypno, poppers encouragement, get high, I've ruined you for regular sex, you're obsessed fantasizing about extreme fantasies, you would do anything for me, I'm mindfucking you, it turns me on to corrupt you, snuff</v>
      </c>
    </row>
    <row r="26">
      <c r="A26" s="52">
        <f>IFERROR(__xludf.DUMMYFUNCTION("""COMPUTED_VALUE"""),89.0)</f>
        <v>89</v>
      </c>
      <c r="B26" s="51">
        <f>IFERROR(__xludf.DUMMYFUNCTION("""COMPUTED_VALUE"""),44793.0)</f>
        <v>44793</v>
      </c>
      <c r="C26" s="27" t="str">
        <f>IFERROR(__xludf.DUMMYFUNCTION("""COMPUTED_VALUE"""),"Silent Call: Live Pervert Hypno w/Binaural")</f>
        <v>Silent Call: Live Pervert Hypno w/Binaural</v>
      </c>
      <c r="D26" s="27" t="str">
        <f>IFERROR(__xludf.DUMMYFUNCTION("""COMPUTED_VALUE"""),"Just a trigger heavy, whispery hypno voice with binaural sound in the background")</f>
        <v>Just a trigger heavy, whispery hypno voice with binaural sound in the background</v>
      </c>
      <c r="E26" s="27" t="str">
        <f>IFERROR(__xludf.DUMMYFUNCTION("""COMPUTED_VALUE"""),"hypno, binaural beats, cum countdown, I know your secret, accomplice, pervert encouragement")</f>
        <v>hypno, binaural beats, cum countdown, I know your secret, accomplice, pervert encouragement</v>
      </c>
    </row>
    <row r="27">
      <c r="A27" s="52">
        <f>IFERROR(__xludf.DUMMYFUNCTION("""COMPUTED_VALUE"""),90.0)</f>
        <v>90</v>
      </c>
      <c r="B27" s="51">
        <f>IFERROR(__xludf.DUMMYFUNCTION("""COMPUTED_VALUE"""),44796.0)</f>
        <v>44796</v>
      </c>
      <c r="C27" s="27" t="str">
        <f>IFERROR(__xludf.DUMMYFUNCTION("""COMPUTED_VALUE"""),"Silent Call: Pervy GFE - Sensual &amp; Accepting")</f>
        <v>Silent Call: Pervy GFE - Sensual &amp; Accepting</v>
      </c>
      <c r="D27" s="27" t="str">
        <f>IFERROR(__xludf.DUMMYFUNCTION("""COMPUTED_VALUE"""),"Very soft and sensual girlfriend experience. Stroke your cock while I talk softly about how I know your dirty secrets, but it makes me love you more. ")</f>
        <v>Very soft and sensual girlfriend experience. Stroke your cock while I talk softly about how I know your dirty secrets, but it makes me love you more. </v>
      </c>
      <c r="E27" s="27" t="str">
        <f>IFERROR(__xludf.DUMMYFUNCTION("""COMPUTED_VALUE"""),"girlfriend experience, L word bombs, acceptance, encouraging, let's fantasize about you and her, pervert encouragement ")</f>
        <v>girlfriend experience, L word bombs, acceptance, encouraging, let's fantasize about you and her, pervert encouragement </v>
      </c>
    </row>
    <row r="28">
      <c r="A28" s="52">
        <f>IFERROR(__xludf.DUMMYFUNCTION("""COMPUTED_VALUE"""),93.0)</f>
        <v>93</v>
      </c>
      <c r="B28" s="51">
        <f>IFERROR(__xludf.DUMMYFUNCTION("""COMPUTED_VALUE"""),44800.0)</f>
        <v>44800</v>
      </c>
      <c r="C28" s="27" t="str">
        <f>IFERROR(__xludf.DUMMYFUNCTION("""COMPUTED_VALUE"""),"Silent Call: Carnal Perv Sex")</f>
        <v>Silent Call: Carnal Perv Sex</v>
      </c>
      <c r="D28" s="27" t="str">
        <f>IFERROR(__xludf.DUMMYFUNCTION("""COMPUTED_VALUE""")," First imagine that I am able to be inside a cutie's body...what I would do to you know the secret I know about you...that you're a sick pervert. ")</f>
        <v> First imagine that I am able to be inside a cutie's body...what I would do to you know the secret I know about you...that you're a sick pervert. </v>
      </c>
      <c r="E28" s="27" t="str">
        <f>IFERROR(__xludf.DUMMYFUNCTION("""COMPUTED_VALUE"""),"seduction, sensual, consensual, accomplice, pervert encouragement")</f>
        <v>seduction, sensual, consensual, accomplice, pervert encouragement</v>
      </c>
    </row>
    <row r="29">
      <c r="A29" s="52">
        <f>IFERROR(__xludf.DUMMYFUNCTION("""COMPUTED_VALUE"""),96.0)</f>
        <v>96</v>
      </c>
      <c r="B29" s="51">
        <f>IFERROR(__xludf.DUMMYFUNCTION("""COMPUTED_VALUE"""),44803.0)</f>
        <v>44803</v>
      </c>
      <c r="C29" s="27" t="str">
        <f>IFERROR(__xludf.DUMMYFUNCTION("""COMPUTED_VALUE"""),"Silent Call: Trigger Word Rambling w/Binaural")</f>
        <v>Silent Call: Trigger Word Rambling w/Binaural</v>
      </c>
      <c r="D29" s="27" t="str">
        <f>IFERROR(__xludf.DUMMYFUNCTION("""COMPUTED_VALUE"""),"Your girlfriend is sucking your dick and letting you listen to an audio while she's doing it. You need it because guess what? Your girlfriend doesn't know how to encourage and corrupt a perv like you. ")</f>
        <v>Your girlfriend is sucking your dick and letting you listen to an audio while she's doing it. You need it because guess what? Your girlfriend doesn't know how to encourage and corrupt a perv like you. </v>
      </c>
      <c r="E29" s="27" t="str">
        <f>IFERROR(__xludf.DUMMYFUNCTION("""COMPUTED_VALUE"""),"binaural, hypno, pervert trigger words, pervert encouragement")</f>
        <v>binaural, hypno, pervert trigger words, pervert encouragement</v>
      </c>
    </row>
    <row r="30">
      <c r="A30" s="52">
        <f>IFERROR(__xludf.DUMMYFUNCTION("""COMPUTED_VALUE"""),97.0)</f>
        <v>97</v>
      </c>
      <c r="B30" s="51">
        <f>IFERROR(__xludf.DUMMYFUNCTION("""COMPUTED_VALUE"""),44803.0)</f>
        <v>44803</v>
      </c>
      <c r="C30" s="27" t="str">
        <f>IFERROR(__xludf.DUMMYFUNCTION("""COMPUTED_VALUE"""),"Script Fill: Perv Stroking")</f>
        <v>Script Fill: Perv Stroking</v>
      </c>
      <c r="D30" s="27" t="str">
        <f>IFERROR(__xludf.DUMMYFUNCTION("""COMPUTED_VALUE"""),"JOI-ish where I guide you through stroking while I play a video for you of a cutie showing off her body. ")</f>
        <v>JOI-ish where I guide you through stroking while I play a video for you of a cutie showing off her body. </v>
      </c>
      <c r="E30" s="27" t="str">
        <f>IFERROR(__xludf.DUMMYFUNCTION("""COMPUTED_VALUE""")," dirty talk, masturbate for me, cam tease, gstring, pervert encouragement")</f>
        <v> dirty talk, masturbate for me, cam tease, gstring, pervert encouragement</v>
      </c>
    </row>
    <row r="31">
      <c r="A31" s="52">
        <f>IFERROR(__xludf.DUMMYFUNCTION("""COMPUTED_VALUE"""),106.0)</f>
        <v>106</v>
      </c>
      <c r="B31" s="51">
        <f>IFERROR(__xludf.DUMMYFUNCTION("""COMPUTED_VALUE"""),44810.0)</f>
        <v>44810</v>
      </c>
      <c r="C31" s="27" t="str">
        <f>IFERROR(__xludf.DUMMYFUNCTION("""COMPUTED_VALUE"""),"Silent Call: Take My Daughter")</f>
        <v>Silent Call: Take My Daughter</v>
      </c>
      <c r="D31" s="27" t="str">
        <f>IFERROR(__xludf.DUMMYFUNCTION("""COMPUTED_VALUE"""),"You're my boyfriend. I'm noticing you're eyes are somewhere else. I give you permission, consent, and beg for you to take her. ")</f>
        <v>You're my boyfriend. I'm noticing you're eyes are somewhere else. I give you permission, consent, and beg for you to take her. </v>
      </c>
      <c r="E31" s="27" t="str">
        <f>IFERROR(__xludf.DUMMYFUNCTION("""COMPUTED_VALUE"""),"pervy GFE, no oral, no anal, L bomb, consensual, accomplice, pervert encouragement")</f>
        <v>pervy GFE, no oral, no anal, L bomb, consensual, accomplice, pervert encouragement</v>
      </c>
    </row>
    <row r="32">
      <c r="A32" s="52">
        <f>IFERROR(__xludf.DUMMYFUNCTION("""COMPUTED_VALUE"""),109.0)</f>
        <v>109</v>
      </c>
      <c r="B32" s="51">
        <f>IFERROR(__xludf.DUMMYFUNCTION("""COMPUTED_VALUE"""),44812.0)</f>
        <v>44812</v>
      </c>
      <c r="C32" s="27" t="str">
        <f>IFERROR(__xludf.DUMMYFUNCTION("""COMPUTED_VALUE"""),"Silent Call: Brat Seduces You")</f>
        <v>Silent Call: Brat Seduces You</v>
      </c>
      <c r="D32" s="27" t="str">
        <f>IFERROR(__xludf.DUMMYFUNCTION("""COMPUTED_VALUE""")," It's rare that I get to play a brat and this was fun! I'm in detention with Mr. Wilson and I offer him something in exchange for not being in trouble. ")</f>
        <v> It's rare that I get to play a brat and this was fun! I'm in detention with Mr. Wilson and I offer him something in exchange for not being in trouble. </v>
      </c>
      <c r="E32" s="27" t="str">
        <f>IFERROR(__xludf.DUMMYFUNCTION("""COMPUTED_VALUE"""),"teacher/student, begging, oral, threats, a little bratty, corruption, creampie, pervert encouragement")</f>
        <v>teacher/student, begging, oral, threats, a little bratty, corruption, creampie, pervert encouragement</v>
      </c>
    </row>
    <row r="33">
      <c r="A33" s="52">
        <f>IFERROR(__xludf.DUMMYFUNCTION("""COMPUTED_VALUE"""),110.0)</f>
        <v>110</v>
      </c>
      <c r="B33" s="51">
        <f>IFERROR(__xludf.DUMMYFUNCTION("""COMPUTED_VALUE"""),44813.0)</f>
        <v>44813</v>
      </c>
      <c r="C33" s="27" t="str">
        <f>IFERROR(__xludf.DUMMYFUNCTION("""COMPUTED_VALUE"""),"Custom: Extreme Perversion Award Show")</f>
        <v>Custom: Extreme Perversion Award Show</v>
      </c>
      <c r="D33" s="27" t="str">
        <f>IFERROR(__xludf.DUMMYFUNCTION("""COMPUTED_VALUE""")," I am hosting an award show set in the future where every perversion is legal. I am last year's former winner of Pedo Mom of the Year and I am presenting the finalist for this year. ")</f>
        <v> I am hosting an award show set in the future where every perversion is legal. I am last year's former winner of Pedo Mom of the Year and I am presenting the finalist for this year. </v>
      </c>
      <c r="E33" s="27" t="str">
        <f>IFERROR(__xludf.DUMMYFUNCTION("""COMPUTED_VALUE"""),"awards show, extreme, you might laugh while jerking off to this, bdsm, family gangbang, incest bukkake, extreme insertions, lingerie, poppers, bimbofication, pervert encouragement")</f>
        <v>awards show, extreme, you might laugh while jerking off to this, bdsm, family gangbang, incest bukkake, extreme insertions, lingerie, poppers, bimbofication, pervert encouragement</v>
      </c>
    </row>
    <row r="34">
      <c r="A34" s="52">
        <f>IFERROR(__xludf.DUMMYFUNCTION("""COMPUTED_VALUE"""),114.0)</f>
        <v>114</v>
      </c>
      <c r="B34" s="51">
        <f>IFERROR(__xludf.DUMMYFUNCTION("""COMPUTED_VALUE"""),44825.0)</f>
        <v>44825</v>
      </c>
      <c r="C34" s="27" t="str">
        <f>IFERROR(__xludf.DUMMYFUNCTION("""COMPUTED_VALUE"""),"Silent Call: Accomplice Gives You A Nudge")</f>
        <v>Silent Call: Accomplice Gives You A Nudge</v>
      </c>
      <c r="D34" s="27" t="str">
        <f>IFERROR(__xludf.DUMMYFUNCTION("""COMPUTED_VALUE"""),"I'm like a voice in your head one night when a girl comes to cuddle next to you. ")</f>
        <v>I'm like a voice in your head one night when a girl comes to cuddle next to you. </v>
      </c>
      <c r="E34" s="27" t="str">
        <f>IFERROR(__xludf.DUMMYFUNCTION("""COMPUTED_VALUE"""),"pervert encouragement, no oral, no anal, accomplice")</f>
        <v>pervert encouragement, no oral, no anal, accomplice</v>
      </c>
    </row>
    <row r="35">
      <c r="A35" s="52">
        <f>IFERROR(__xludf.DUMMYFUNCTION("""COMPUTED_VALUE"""),123.0)</f>
        <v>123</v>
      </c>
      <c r="B35" s="51">
        <f>IFERROR(__xludf.DUMMYFUNCTION("""COMPUTED_VALUE"""),44834.0)</f>
        <v>44834</v>
      </c>
      <c r="C35" s="27" t="str">
        <f>IFERROR(__xludf.DUMMYFUNCTION("""COMPUTED_VALUE"""),"Silent Call: Mom/Girlfriend Accomplice")</f>
        <v>Silent Call: Mom/Girlfriend Accomplice</v>
      </c>
      <c r="D35" s="27" t="str">
        <f>IFERROR(__xludf.DUMMYFUNCTION("""COMPUTED_VALUE""")," I urge and coerce you, telling you to just give into your desires. ")</f>
        <v> I urge and coerce you, telling you to just give into your desires. </v>
      </c>
      <c r="E35" s="27" t="str">
        <f>IFERROR(__xludf.DUMMYFUNCTION("""COMPUTED_VALUE"""),"accomplice, some whispering, slow build up, sensual, no anal, no oral, creampie ending, pervert encouragement")</f>
        <v>accomplice, some whispering, slow build up, sensual, no anal, no oral, creampie ending, pervert encouragement</v>
      </c>
    </row>
    <row r="36">
      <c r="A36" s="52">
        <f>IFERROR(__xludf.DUMMYFUNCTION("""COMPUTED_VALUE"""),126.0)</f>
        <v>126</v>
      </c>
      <c r="B36" s="51">
        <f>IFERROR(__xludf.DUMMYFUNCTION("""COMPUTED_VALUE"""),44837.0)</f>
        <v>44837</v>
      </c>
      <c r="C36" s="27" t="str">
        <f>IFERROR(__xludf.DUMMYFUNCTION("""COMPUTED_VALUE"""),"Silent Call: Mom Accomplice 2")</f>
        <v>Silent Call: Mom Accomplice 2</v>
      </c>
      <c r="D36" s="27" t="str">
        <f>IFERROR(__xludf.DUMMYFUNCTION("""COMPUTED_VALUE"""),"The night after you had sex with my daughter for the first time, I call you on the phone and let you know that you and my daughter will be alone tonight and I instruct you what to do. ")</f>
        <v>The night after you had sex with my daughter for the first time, I call you on the phone and let you know that you and my daughter will be alone tonight and I instruct you what to do. </v>
      </c>
      <c r="E36" s="27" t="str">
        <f>IFERROR(__xludf.DUMMYFUNCTION("""COMPUTED_VALUE"""),"accomplice, sensual, no anal, no oral, pervert encouragement")</f>
        <v>accomplice, sensual, no anal, no oral, pervert encouragement</v>
      </c>
    </row>
    <row r="37">
      <c r="A37" s="52">
        <f>IFERROR(__xludf.DUMMYFUNCTION("""COMPUTED_VALUE"""),128.0)</f>
        <v>128</v>
      </c>
      <c r="B37" s="51">
        <f>IFERROR(__xludf.DUMMYFUNCTION("""COMPUTED_VALUE"""),44838.0)</f>
        <v>44838</v>
      </c>
      <c r="C37" s="27" t="str">
        <f>IFERROR(__xludf.DUMMYFUNCTION("""COMPUTED_VALUE"""),"Custom: Jailbait Tik Tok")</f>
        <v>Custom: Jailbait Tik Tok</v>
      </c>
      <c r="D37" s="27" t="str">
        <f>IFERROR(__xludf.DUMMYFUNCTION("""COMPUTED_VALUE"""),"I'm your girlfriend and I caught you gooning out to tik tok. Seemed innocent at first but realized you were being a total pervert. ")</f>
        <v>I'm your girlfriend and I caught you gooning out to tik tok. Seemed innocent at first but realized you were being a total pervert. </v>
      </c>
      <c r="E37" s="27" t="str">
        <f>IFERROR(__xludf.DUMMYFUNCTION("""COMPUTED_VALUE""")," tik tok, masturbation, gooning, pervy GFE, cock tease, you can't have them but you can goon to them, pervert encouragement")</f>
        <v> tik tok, masturbation, gooning, pervy GFE, cock tease, you can't have them but you can goon to them, pervert encouragement</v>
      </c>
    </row>
    <row r="38">
      <c r="A38" s="52">
        <f>IFERROR(__xludf.DUMMYFUNCTION("""COMPUTED_VALUE"""),129.0)</f>
        <v>129</v>
      </c>
      <c r="B38" s="51">
        <f>IFERROR(__xludf.DUMMYFUNCTION("""COMPUTED_VALUE"""),44838.0)</f>
        <v>44838</v>
      </c>
      <c r="C38" s="27" t="str">
        <f>IFERROR(__xludf.DUMMYFUNCTION("""COMPUTED_VALUE"""),"Custom: PMC Patient #101 (play 'customPMC101' first)")</f>
        <v>Custom: PMC Patient #101 (play 'customPMC101' first)</v>
      </c>
      <c r="D38" s="27" t="str">
        <f>IFERROR(__xludf.DUMMYFUNCTION("""COMPUTED_VALUE"""),"Patient 101 needs more deepening and control so Dr. Beatrix intoxicates, hypnotizes, goons him out, and makes him sniff poppers. ")</f>
        <v>Patient 101 needs more deepening and control so Dr. Beatrix intoxicates, hypnotizes, goons him out, and makes him sniff poppers. </v>
      </c>
      <c r="E38" s="27" t="str">
        <f>IFERROR(__xludf.DUMMYFUNCTION("""COMPUTED_VALUE"""),"intoxication, PMC, egirls, tik tok cock teases, hypno, whispered trigger words, hentai girl moaning sfx, CEI, pervert encouragement")</f>
        <v>intoxication, PMC, egirls, tik tok cock teases, hypno, whispered trigger words, hentai girl moaning sfx, CEI, pervert encouragement</v>
      </c>
    </row>
    <row r="39">
      <c r="A39" s="52">
        <f>IFERROR(__xludf.DUMMYFUNCTION("""COMPUTED_VALUE"""),138.0)</f>
        <v>138</v>
      </c>
      <c r="B39" s="51">
        <f>IFERROR(__xludf.DUMMYFUNCTION("""COMPUTED_VALUE"""),44853.0)</f>
        <v>44853</v>
      </c>
      <c r="C39" s="27" t="str">
        <f>IFERROR(__xludf.DUMMYFUNCTION("""COMPUTED_VALUE"""),"Custom: Cuckold Switch")</f>
        <v>Custom: Cuckold Switch</v>
      </c>
      <c r="D39" s="27" t="str">
        <f>IFERROR(__xludf.DUMMYFUNCTION("""COMPUTED_VALUE""")," I'm your wife and we made a deal. I could fuck a BBC in front of you and then you could fill one of your fantasies that's extremely perverted. ")</f>
        <v> I'm your wife and we made a deal. I could fuck a BBC in front of you and then you could fill one of your fantasies that's extremely perverted. </v>
      </c>
      <c r="E39" s="27" t="str">
        <f>IFERROR(__xludf.DUMMYFUNCTION("""COMPUTED_VALUE"""),"cuckold, cuckquean, BBC, oral, creampie, secret fantisies, pervert encouragement")</f>
        <v>cuckold, cuckquean, BBC, oral, creampie, secret fantisies, pervert encouragement</v>
      </c>
    </row>
    <row r="40">
      <c r="A40" s="52">
        <f>IFERROR(__xludf.DUMMYFUNCTION("""COMPUTED_VALUE"""),140.0)</f>
        <v>140</v>
      </c>
      <c r="B40" s="51">
        <f>IFERROR(__xludf.DUMMYFUNCTION("""COMPUTED_VALUE"""),44856.0)</f>
        <v>44856</v>
      </c>
      <c r="C40" s="27" t="str">
        <f>IFERROR(__xludf.DUMMYFUNCTION("""COMPUTED_VALUE"""),"Silent Call: Rape Doll")</f>
        <v>Silent Call: Rape Doll</v>
      </c>
      <c r="D40" s="27" t="str">
        <f>IFERROR(__xludf.DUMMYFUNCTION("""COMPUTED_VALUE"""),"You have a cutie captured and I am a voice inside your head saying all the things you want to hear. ")</f>
        <v>You have a cutie captured and I am a voice inside your head saying all the things you want to hear. </v>
      </c>
      <c r="E40" s="27" t="str">
        <f>IFERROR(__xludf.DUMMYFUNCTION("""COMPUTED_VALUE"""),"accomplice, oral, creampie, aftercare, pervert encouragement")</f>
        <v>accomplice, oral, creampie, aftercare, pervert encouragement</v>
      </c>
    </row>
    <row r="41">
      <c r="A41" s="52">
        <f>IFERROR(__xludf.DUMMYFUNCTION("""COMPUTED_VALUE"""),142.0)</f>
        <v>142</v>
      </c>
      <c r="B41" s="51">
        <f>IFERROR(__xludf.DUMMYFUNCTION("""COMPUTED_VALUE"""),44858.0)</f>
        <v>44858</v>
      </c>
      <c r="C41" s="27" t="str">
        <f>IFERROR(__xludf.DUMMYFUNCTION("""COMPUTED_VALUE"""),"Tale of Two Porn Mommies")</f>
        <v>Tale of Two Porn Mommies</v>
      </c>
      <c r="D41" s="27" t="str">
        <f>IFERROR(__xludf.DUMMYFUNCTION("""COMPUTED_VALUE"""),"Two porn moms give their daughters their first porn debut: two girl gangbang! ")</f>
        <v>Two porn moms give their daughters their first porn debut: two girl gangbang! </v>
      </c>
      <c r="E41" s="27" t="str">
        <f>IFERROR(__xludf.DUMMYFUNCTION("""COMPUTED_VALUE"""),"girl on girl pegging, snuff, kissing, lingerie, porn sluts, gangbang, pervert encouragement")</f>
        <v>girl on girl pegging, snuff, kissing, lingerie, porn sluts, gangbang, pervert encouragement</v>
      </c>
    </row>
    <row r="42">
      <c r="A42" s="52">
        <f>IFERROR(__xludf.DUMMYFUNCTION("""COMPUTED_VALUE"""),144.0)</f>
        <v>144</v>
      </c>
      <c r="B42" s="51">
        <f>IFERROR(__xludf.DUMMYFUNCTION("""COMPUTED_VALUE"""),44858.0)</f>
        <v>44858</v>
      </c>
      <c r="C42" s="27" t="str">
        <f>IFERROR(__xludf.DUMMYFUNCTION("""COMPUTED_VALUE"""),"Silent Call: Dad Daughter Incest")</f>
        <v>Silent Call: Dad Daughter Incest</v>
      </c>
      <c r="D42" s="27" t="str">
        <f>IFERROR(__xludf.DUMMYFUNCTION("""COMPUTED_VALUE"""),"Fantasy where you sit down and watch cp every evening with your daughter and make love during. ")</f>
        <v>Fantasy where you sit down and watch cp every evening with your daughter and make love during. </v>
      </c>
      <c r="E42" s="27" t="str">
        <f>IFERROR(__xludf.DUMMYFUNCTION("""COMPUTED_VALUE"""),"ddlg, oral, cowgirl, creampie ending, harem of daughters in the future, incest, sweet, sensual, consensual, pervert encouragement")</f>
        <v>ddlg, oral, cowgirl, creampie ending, harem of daughters in the future, incest, sweet, sensual, consensual, pervert encouragement</v>
      </c>
    </row>
    <row r="43">
      <c r="A43" s="52">
        <f>IFERROR(__xludf.DUMMYFUNCTION("""COMPUTED_VALUE"""),146.0)</f>
        <v>146</v>
      </c>
      <c r="B43" s="51">
        <f>IFERROR(__xludf.DUMMYFUNCTION("""COMPUTED_VALUE"""),44860.0)</f>
        <v>44860</v>
      </c>
      <c r="C43" s="27" t="str">
        <f>IFERROR(__xludf.DUMMYFUNCTION("""COMPUTED_VALUE"""),"Custom: PMC Patient #216 - Non-Nude Voyeur")</f>
        <v>Custom: PMC Patient #216 - Non-Nude Voyeur</v>
      </c>
      <c r="D43" s="27" t="str">
        <f>IFERROR(__xludf.DUMMYFUNCTION("""COMPUTED_VALUE"""),"Dr. Beatrix gets a new patient. His weaknesses are preteens and more voyeuristic style content. Both audios are the same for the first 13ish min, but have a different ending after. ")</f>
        <v>Dr. Beatrix gets a new patient. His weaknesses are preteens and more voyeuristic style content. Both audios are the same for the first 13ish min, but have a different ending after. </v>
      </c>
      <c r="E43" s="27" t="str">
        <f>IFERROR(__xludf.DUMMYFUNCTION("""COMPUTED_VALUE"""),"non-nudes, upskirt with and without panties, cock teases, cock pumping, edging, panties, cum countdown w/cum ending, cum countdown w/denial, pervert encouragement")</f>
        <v>non-nudes, upskirt with and without panties, cock teases, cock pumping, edging, panties, cum countdown w/cum ending, cum countdown w/denial, pervert encouragement</v>
      </c>
    </row>
    <row r="44">
      <c r="A44" s="52">
        <f>IFERROR(__xludf.DUMMYFUNCTION("""COMPUTED_VALUE"""),148.0)</f>
        <v>148</v>
      </c>
      <c r="B44" s="51">
        <f>IFERROR(__xludf.DUMMYFUNCTION("""COMPUTED_VALUE"""),44861.0)</f>
        <v>44861</v>
      </c>
      <c r="C44" s="27" t="str">
        <f>IFERROR(__xludf.DUMMYFUNCTION("""COMPUTED_VALUE"""),"Custom: Pervert Carwash")</f>
        <v>Custom: Pervert Carwash</v>
      </c>
      <c r="D44" s="27" t="str">
        <f>IFERROR(__xludf.DUMMYFUNCTION("""COMPUTED_VALUE"""),"Me and my cheerleading squad are raising money by holding a car wash that includes extra services for men. ")</f>
        <v>Me and my cheerleading squad are raising money by holding a car wash that includes extra services for men. </v>
      </c>
      <c r="E44" s="27" t="str">
        <f>IFERROR(__xludf.DUMMYFUNCTION("""COMPUTED_VALUE""")," girl on girl makeout, fingering, deepthroat, anal, gape mention, anal creampie, spit roasted, ddlg, girl on girl scissoring, bukkake, cum countdown, pervert encouragement")</f>
        <v> girl on girl makeout, fingering, deepthroat, anal, gape mention, anal creampie, spit roasted, ddlg, girl on girl scissoring, bukkake, cum countdown, pervert encouragement</v>
      </c>
    </row>
    <row r="45">
      <c r="A45" s="52">
        <f>IFERROR(__xludf.DUMMYFUNCTION("""COMPUTED_VALUE"""),150.0)</f>
        <v>150</v>
      </c>
      <c r="B45" s="51">
        <f>IFERROR(__xludf.DUMMYFUNCTION("""COMPUTED_VALUE"""),44864.0)</f>
        <v>44864</v>
      </c>
      <c r="C45" s="27" t="str">
        <f>IFERROR(__xludf.DUMMYFUNCTION("""COMPUTED_VALUE"""),"Silent Call: Mommy Accomplice Coerces You")</f>
        <v>Silent Call: Mommy Accomplice Coerces You</v>
      </c>
      <c r="D45" s="27" t="str">
        <f>IFERROR(__xludf.DUMMYFUNCTION("""COMPUTED_VALUE"""),"I'm stroking your cock and reveal that I've noticed how weak you get for my daughter. I start teasing you with her forbidden body until we go into her room where she's sleeping. ")</f>
        <v>I'm stroking your cock and reveal that I've noticed how weak you get for my daughter. I start teasing you with her forbidden body until we go into her room where she's sleeping. </v>
      </c>
      <c r="E45" s="27" t="str">
        <f>IFERROR(__xludf.DUMMYFUNCTION("""COMPUTED_VALUE"""),"slow burn w/creampie ending, no oral, accomplice, sensual, consensual, missionary, cowgirl, pervert encouragement")</f>
        <v>slow burn w/creampie ending, no oral, accomplice, sensual, consensual, missionary, cowgirl, pervert encouragement</v>
      </c>
    </row>
    <row r="46">
      <c r="A46" s="52">
        <f>IFERROR(__xludf.DUMMYFUNCTION("""COMPUTED_VALUE"""),151.0)</f>
        <v>151</v>
      </c>
      <c r="B46" s="51">
        <f>IFERROR(__xludf.DUMMYFUNCTION("""COMPUTED_VALUE"""),44865.0)</f>
        <v>44865</v>
      </c>
      <c r="C46" s="27" t="str">
        <f>IFERROR(__xludf.DUMMYFUNCTION("""COMPUTED_VALUE"""),"Custom: PMC Application Denied")</f>
        <v>Custom: PMC Application Denied</v>
      </c>
      <c r="D46" s="27" t="str">
        <f>IFERROR(__xludf.DUMMYFUNCTION("""COMPUTED_VALUE"""),"You applied to the PMC, but Dr. Beatrix doesn't think you're addicted enough. I give you suggestions to deepen your addiction so you can come back and reapply. ")</f>
        <v>You applied to the PMC, but Dr. Beatrix doesn't think you're addicted enough. I give you suggestions to deepen your addiction so you can come back and reapply. </v>
      </c>
      <c r="E46" s="27" t="str">
        <f>IFERROR(__xludf.DUMMYFUNCTION("""COMPUTED_VALUE"""),"PMC, gooning encouragement, addiction encouragement, enabler, orgasm denial, pervert encouragement")</f>
        <v>PMC, gooning encouragement, addiction encouragement, enabler, orgasm denial, pervert encouragement</v>
      </c>
    </row>
    <row r="47">
      <c r="A47" s="52">
        <f>IFERROR(__xludf.DUMMYFUNCTION("""COMPUTED_VALUE"""),154.0)</f>
        <v>154</v>
      </c>
      <c r="B47" s="51">
        <f>IFERROR(__xludf.DUMMYFUNCTION("""COMPUTED_VALUE"""),44867.0)</f>
        <v>44867</v>
      </c>
      <c r="C47" s="27" t="str">
        <f>IFERROR(__xludf.DUMMYFUNCTION("""COMPUTED_VALUE"""),"Custom: Kidnapped &amp; Raped")</f>
        <v>Custom: Kidnapped &amp; Raped</v>
      </c>
      <c r="D47" s="27" t="str">
        <f>IFERROR(__xludf.DUMMYFUNCTION("""COMPUTED_VALUE"""),"I'm a voice inside of your head, narrating a scene where you kidnap a girl and brutally rape her. ")</f>
        <v>I'm a voice inside of your head, narrating a scene where you kidnap a girl and brutally rape her. </v>
      </c>
      <c r="E47" s="27" t="str">
        <f>IFERROR(__xludf.DUMMYFUNCTION("""COMPUTED_VALUE"""),"kidnap/snatch, force, grope, oral mention, creampie, pervert encouragement")</f>
        <v>kidnap/snatch, force, grope, oral mention, creampie, pervert encouragement</v>
      </c>
    </row>
    <row r="48">
      <c r="A48" s="52">
        <f>IFERROR(__xludf.DUMMYFUNCTION("""COMPUTED_VALUE"""),158.0)</f>
        <v>158</v>
      </c>
      <c r="B48" s="51">
        <f>IFERROR(__xludf.DUMMYFUNCTION("""COMPUTED_VALUE"""),44875.0)</f>
        <v>44875</v>
      </c>
      <c r="C48" s="27" t="str">
        <f>IFERROR(__xludf.DUMMYFUNCTION("""COMPUTED_VALUE"""),"Silent Call: Your Favorite Triggers")</f>
        <v>Silent Call: Your Favorite Triggers</v>
      </c>
      <c r="D48" s="27" t="str">
        <f>IFERROR(__xludf.DUMMYFUNCTION("""COMPUTED_VALUE"""),"How did you survive all those days without your favorite goddess pushing your favorite trigger words in your ears? ")</f>
        <v>How did you survive all those days without your favorite goddess pushing your favorite trigger words in your ears? </v>
      </c>
      <c r="E48" s="27" t="str">
        <f>IFERROR(__xludf.DUMMYFUNCTION("""COMPUTED_VALUE"""),"trigger ramble, humiliation, pervert encouragement")</f>
        <v>trigger ramble, humiliation, pervert encouragement</v>
      </c>
    </row>
    <row r="49">
      <c r="A49" s="52">
        <f>IFERROR(__xludf.DUMMYFUNCTION("""COMPUTED_VALUE"""),168.0)</f>
        <v>168</v>
      </c>
      <c r="B49" s="51">
        <f>IFERROR(__xludf.DUMMYFUNCTION("""COMPUTED_VALUE"""),44885.0)</f>
        <v>44885</v>
      </c>
      <c r="C49" s="27" t="str">
        <f>IFERROR(__xludf.DUMMYFUNCTION("""COMPUTED_VALUE"""),"Custom: Grandpa is a Perv")</f>
        <v>Custom: Grandpa is a Perv</v>
      </c>
      <c r="D49" s="27" t="str">
        <f>IFERROR(__xludf.DUMMYFUNCTION("""COMPUTED_VALUE"""),"I find my father's disgusting folder of illegal incest content. I confront him about it because I'm disgusted he wants to sexualize me and our family, but the more I talk about it with him, the more turned on I get, especially when I learn it's my daughte"&amp;"r he really wants. ")</f>
        <v>I find my father's disgusting folder of illegal incest content. I confront him about it because I'm disgusted he wants to sexualize me and our family, but the more I talk about it with him, the more turned on I get, especially when I learn it's my daughter he really wants. </v>
      </c>
      <c r="E49" s="27" t="str">
        <f>IFERROR(__xludf.DUMMYFUNCTION("""COMPUTED_VALUE"""),"humiliation, pervert encouragement, voyeur, ddlg, grandma, family orgy, incest")</f>
        <v>humiliation, pervert encouragement, voyeur, ddlg, grandma, family orgy, incest</v>
      </c>
    </row>
    <row r="50">
      <c r="A50" s="52">
        <f>IFERROR(__xludf.DUMMYFUNCTION("""COMPUTED_VALUE"""),169.0)</f>
        <v>169</v>
      </c>
      <c r="B50" s="51">
        <f>IFERROR(__xludf.DUMMYFUNCTION("""COMPUTED_VALUE"""),44886.0)</f>
        <v>44886</v>
      </c>
      <c r="C50" s="27" t="str">
        <f>IFERROR(__xludf.DUMMYFUNCTION("""COMPUTED_VALUE"""),"Custom: She Needed More")</f>
        <v>Custom: She Needed More</v>
      </c>
      <c r="D50" s="27" t="str">
        <f>IFERROR(__xludf.DUMMYFUNCTION("""COMPUTED_VALUE"""),"I recount a first person story of how a woman dove into the depth of depravity from being just a simple kinky woman to addicted to worst kind of material. ")</f>
        <v>I recount a first person story of how a woman dove into the depth of depravity from being just a simple kinky woman to addicted to worst kind of material. </v>
      </c>
      <c r="E50" s="27" t="str">
        <f>IFERROR(__xludf.DUMMYFUNCTION("""COMPUTED_VALUE"""),"pervy gfe, obsession, female masturbation, female perv, needing more and more, deeper and deeper, pervert encouragement")</f>
        <v>pervy gfe, obsession, female masturbation, female perv, needing more and more, deeper and deeper, pervert encouragement</v>
      </c>
    </row>
    <row r="51">
      <c r="A51" s="52">
        <f>IFERROR(__xludf.DUMMYFUNCTION("""COMPUTED_VALUE"""),172.0)</f>
        <v>172</v>
      </c>
      <c r="B51" s="51">
        <f>IFERROR(__xludf.DUMMYFUNCTION("""COMPUTED_VALUE"""),44893.0)</f>
        <v>44893</v>
      </c>
      <c r="C51" s="27" t="str">
        <f>IFERROR(__xludf.DUMMYFUNCTION("""COMPUTED_VALUE"""),"Custom: Pervy TMZ")</f>
        <v>Custom: Pervy TMZ</v>
      </c>
      <c r="D51" s="27" t="str">
        <f>IFERROR(__xludf.DUMMYFUNCTION("""COMPUTED_VALUE"""),"In this fantasy audio, pretend you live in a world where there are laws and everything is legal and acceptable. You are tuning into my celebrity gossip TMZ web show.")</f>
        <v>In this fantasy audio, pretend you live in a world where there are laws and everything is legal and acceptable. You are tuning into my celebrity gossip TMZ web show.</v>
      </c>
      <c r="E51" s="27" t="str">
        <f>IFERROR(__xludf.DUMMYFUNCTION("""COMPUTED_VALUE"""),"news, girl on girl, domme, inbreeding, age gape, BBC, incest, abortion mention, foot fetish, brothel, bimbo, pervert encouragement")</f>
        <v>news, girl on girl, domme, inbreeding, age gape, BBC, incest, abortion mention, foot fetish, brothel, bimbo, pervert encouragement</v>
      </c>
    </row>
    <row r="52">
      <c r="A52" s="52">
        <f>IFERROR(__xludf.DUMMYFUNCTION("""COMPUTED_VALUE"""),175.0)</f>
        <v>175</v>
      </c>
      <c r="B52" s="51">
        <f>IFERROR(__xludf.DUMMYFUNCTION("""COMPUTED_VALUE"""),44894.0)</f>
        <v>44894</v>
      </c>
      <c r="C52" s="27" t="str">
        <f>IFERROR(__xludf.DUMMYFUNCTION("""COMPUTED_VALUE"""),"Custom: Lolita Airlines")</f>
        <v>Custom: Lolita Airlines</v>
      </c>
      <c r="D52" s="27" t="str">
        <f>IFERROR(__xludf.DUMMYFUNCTION("""COMPUTED_VALUE"""),"You're a passenger on Lolita Airlines where all the crew members except the pilots are underage! I am your designated Lolita flight attendant and show you around your first flight with us.")</f>
        <v>You're a passenger on Lolita Airlines where all the crew members except the pilots are underage! I am your designated Lolita flight attendant and show you around your first flight with us.</v>
      </c>
      <c r="E52" s="27" t="str">
        <f>IFERROR(__xludf.DUMMYFUNCTION("""COMPUTED_VALUE"""),"airplane ambience, sexy flight attendants, sexually agressive, lg femdoms, bdsm, bukkake, gloryhole, gangbang, fucked unconscious, cowgirl, creampie ending, accomplice, pervert encouragement")</f>
        <v>airplane ambience, sexy flight attendants, sexually agressive, lg femdoms, bdsm, bukkake, gloryhole, gangbang, fucked unconscious, cowgirl, creampie ending, accomplice, pervert encouragement</v>
      </c>
    </row>
    <row r="53">
      <c r="A53" s="52">
        <f>IFERROR(__xludf.DUMMYFUNCTION("""COMPUTED_VALUE"""),177.0)</f>
        <v>177</v>
      </c>
      <c r="B53" s="51">
        <f>IFERROR(__xludf.DUMMYFUNCTION("""COMPUTED_VALUE"""),44895.0)</f>
        <v>44895</v>
      </c>
      <c r="C53" s="27" t="str">
        <f>IFERROR(__xludf.DUMMYFUNCTION("""COMPUTED_VALUE"""),"Silent Call: First Time")</f>
        <v>Silent Call: First Time</v>
      </c>
      <c r="D53" s="27" t="str">
        <f>IFERROR(__xludf.DUMMYFUNCTION("""COMPUTED_VALUE"""),"I'm like a voice in your head during a time you have a little one alone and beside you, for the first time.")</f>
        <v>I'm like a voice in your head during a time you have a little one alone and beside you, for the first time.</v>
      </c>
      <c r="E53" s="27" t="str">
        <f>IFERROR(__xludf.DUMMYFUNCTION("""COMPUTED_VALUE""")," soft, sensual, consensual, kissing, pentrating, mind fuckery, creampie ending, pervert encouragement")</f>
        <v> soft, sensual, consensual, kissing, pentrating, mind fuckery, creampie ending, pervert encouragement</v>
      </c>
    </row>
    <row r="54">
      <c r="A54" s="52">
        <f>IFERROR(__xludf.DUMMYFUNCTION("""COMPUTED_VALUE"""),181.0)</f>
        <v>181</v>
      </c>
      <c r="B54" s="51">
        <f>IFERROR(__xludf.DUMMYFUNCTION("""COMPUTED_VALUE"""),44900.0)</f>
        <v>44900</v>
      </c>
      <c r="C54" s="27" t="str">
        <f>IFERROR(__xludf.DUMMYFUNCTION("""COMPUTED_VALUE"""),"Silent Call: Teen Seduction")</f>
        <v>Silent Call: Teen Seduction</v>
      </c>
      <c r="D54" s="27" t="str">
        <f>IFERROR(__xludf.DUMMYFUNCTION("""COMPUTED_VALUE"""),"I am your neighbor that seduces you. Your wife catches us and I tease and humiliate her while you continue fucking me.")</f>
        <v>I am your neighbor that seduces you. Your wife catches us and I tease and humiliate her while you continue fucking me.</v>
      </c>
      <c r="E54" s="27" t="str">
        <f>IFERROR(__xludf.DUMMYFUNCTION("""COMPUTED_VALUE"""),"seduction, oral, homewrecking, slut, blackmail, sexually aggressive, pervert encouragement")</f>
        <v>seduction, oral, homewrecking, slut, blackmail, sexually aggressive, pervert encouragement</v>
      </c>
    </row>
    <row r="55">
      <c r="A55" s="52">
        <f>IFERROR(__xludf.DUMMYFUNCTION("""COMPUTED_VALUE"""),184.0)</f>
        <v>184</v>
      </c>
      <c r="B55" s="51">
        <f>IFERROR(__xludf.DUMMYFUNCTION("""COMPUTED_VALUE"""),44902.0)</f>
        <v>44902</v>
      </c>
      <c r="C55" s="27" t="str">
        <f>IFERROR(__xludf.DUMMYFUNCTION("""COMPUTED_VALUE"""),"Silent Call: Perv Daddy Encouragement")</f>
        <v>Silent Call: Perv Daddy Encouragement</v>
      </c>
      <c r="D55" s="27" t="str">
        <f>IFERROR(__xludf.DUMMYFUNCTION("""COMPUTED_VALUE""")," Trigger filled, perv encouragement silent call that focuses on taking you deeper and making your cock feel good.")</f>
        <v> Trigger filled, perv encouragement silent call that focuses on taking you deeper and making your cock feel good.</v>
      </c>
      <c r="E55" s="27" t="str">
        <f>IFERROR(__xludf.DUMMYFUNCTION("""COMPUTED_VALUE"""),"ddlg, goddess, accomplice, enabler, go deeper, pervert encouragement")</f>
        <v>ddlg, goddess, accomplice, enabler, go deeper, pervert encouragement</v>
      </c>
    </row>
    <row r="56">
      <c r="A56" s="52">
        <f>IFERROR(__xludf.DUMMYFUNCTION("""COMPUTED_VALUE"""),194.0)</f>
        <v>194</v>
      </c>
      <c r="B56" s="51">
        <f>IFERROR(__xludf.DUMMYFUNCTION("""COMPUTED_VALUE"""),44924.0)</f>
        <v>44924</v>
      </c>
      <c r="C56" s="27" t="str">
        <f>IFERROR(__xludf.DUMMYFUNCTION("""COMPUTED_VALUE"""),"Custom: PMC Patient 216 Goes Lower")</f>
        <v>Custom: PMC Patient 216 Goes Lower</v>
      </c>
      <c r="D56" s="27" t="str">
        <f>IFERROR(__xludf.DUMMYFUNCTION("""COMPUTED_VALUE"""),"Dr Beatrix needs one of her patients to go deeper. He's become complacent and performing at low levels. She decides to take his interests lower, intoxicate him, and make him goon while he is being brainwashed.")</f>
        <v>Dr Beatrix needs one of her patients to go deeper. He's become complacent and performing at low levels. She decides to take his interests lower, intoxicate him, and make him goon while he is being brainwashed.</v>
      </c>
      <c r="E56" s="27" t="str">
        <f>IFERROR(__xludf.DUMMYFUNCTION("""COMPUTED_VALUE"""),"medical setting, doctor/patient, LSD intoxication, gooning, cock pumping machine, hypno-ish, different endings, cum countdown, addiction encouragement, pervert encouragement")</f>
        <v>medical setting, doctor/patient, LSD intoxication, gooning, cock pumping machine, hypno-ish, different endings, cum countdown, addiction encouragement, pervert encouragement</v>
      </c>
    </row>
    <row r="57">
      <c r="A57" s="52">
        <f>IFERROR(__xludf.DUMMYFUNCTION("""COMPUTED_VALUE"""),196.0)</f>
        <v>196</v>
      </c>
      <c r="B57" s="51">
        <f>IFERROR(__xludf.DUMMYFUNCTION("""COMPUTED_VALUE"""),44924.0)</f>
        <v>44924</v>
      </c>
      <c r="C57" s="27" t="str">
        <f>IFERROR(__xludf.DUMMYFUNCTION("""COMPUTED_VALUE"""),"Script Fill: Fucking Callie (Non Extreme Version)")</f>
        <v>Script Fill: Fucking Callie (Non Extreme Version)</v>
      </c>
      <c r="D57" s="27" t="str">
        <f>IFERROR(__xludf.DUMMYFUNCTION("""COMPUTED_VALUE"""),"A young girl's adult neighbor has sex with her for the first time (I had to provide a non extreme one because the sex scene was so wonderfully written and wanted to share it with my non-extreme lovers)")</f>
        <v>A young girl's adult neighbor has sex with her for the first time (I had to provide a non extreme one because the sex scene was so wonderfully written and wanted to share it with my non-extreme lovers)</v>
      </c>
      <c r="E57" s="27" t="str">
        <f>IFERROR(__xludf.DUMMYFUNCTION("""COMPUTED_VALUE"""),"2nd person, pussy eating, bareback, creampie, breeding, pervert encouragement")</f>
        <v>2nd person, pussy eating, bareback, creampie, breeding, pervert encouragement</v>
      </c>
    </row>
    <row r="58">
      <c r="A58" s="52">
        <f>IFERROR(__xludf.DUMMYFUNCTION("""COMPUTED_VALUE"""),198.0)</f>
        <v>198</v>
      </c>
      <c r="B58" s="51">
        <f>IFERROR(__xludf.DUMMYFUNCTION("""COMPUTED_VALUE"""),44927.0)</f>
        <v>44927</v>
      </c>
      <c r="C58" s="27" t="str">
        <f>IFERROR(__xludf.DUMMYFUNCTION("""COMPUTED_VALUE"""),"Silent Call: Sweet, Encouraging, Nasty Girlfriend")</f>
        <v>Silent Call: Sweet, Encouraging, Nasty Girlfriend</v>
      </c>
      <c r="D58" s="27" t="str">
        <f>IFERROR(__xludf.DUMMYFUNCTION("""COMPUTED_VALUE"""),"(there's a disruption in the middle of the audio because we experienced a call drop) You're feeling down about your nasty fetishes until I come in and encourage you to lean into them and be nasty for me.")</f>
        <v>(there's a disruption in the middle of the audio because we experienced a call drop) You're feeling down about your nasty fetishes until I come in and encourage you to lean into them and be nasty for me.</v>
      </c>
      <c r="E58" s="27" t="str">
        <f>IFERROR(__xludf.DUMMYFUNCTION("""COMPUTED_VALUE"""),"pervy GFE, masturbation encouragement, filth encouragement, L bombs, get nastier for me, accomplice, throat fucking, choking, pervert encouragement")</f>
        <v>pervy GFE, masturbation encouragement, filth encouragement, L bombs, get nastier for me, accomplice, throat fucking, choking, pervert encouragement</v>
      </c>
    </row>
    <row r="59">
      <c r="A59" s="52">
        <f>IFERROR(__xludf.DUMMYFUNCTION("""COMPUTED_VALUE"""),200.0)</f>
        <v>200</v>
      </c>
      <c r="B59" s="51">
        <f>IFERROR(__xludf.DUMMYFUNCTION("""COMPUTED_VALUE"""),44929.0)</f>
        <v>44929</v>
      </c>
      <c r="C59" s="27" t="str">
        <f>IFERROR(__xludf.DUMMYFUNCTION("""COMPUTED_VALUE"""),"Custom: Honeymoon Brothel Part 1")</f>
        <v>Custom: Honeymoon Brothel Part 1</v>
      </c>
      <c r="D59" s="27" t="str">
        <f>IFERROR(__xludf.DUMMYFUNCTION("""COMPUTED_VALUE"""),"We just got married and are honeymooning in Vietnam so that we can fulfill our deepest, depraved fantasy for the first time.")</f>
        <v>We just got married and are honeymooning in Vietnam so that we can fulfill our deepest, depraved fantasy for the first time.</v>
      </c>
      <c r="E59" s="27" t="str">
        <f>IFERROR(__xludf.DUMMYFUNCTION("""COMPUTED_VALUE"""),"L bombs, pervy wife experience, brothel, asian slut, oral, female masturbation, no anal, doggy style, multiple orgasms, cock cleaning, creampie cleanup, accomplice, pervert encouragement")</f>
        <v>L bombs, pervy wife experience, brothel, asian slut, oral, female masturbation, no anal, doggy style, multiple orgasms, cock cleaning, creampie cleanup, accomplice, pervert encouragement</v>
      </c>
    </row>
    <row r="60">
      <c r="A60" s="52">
        <f>IFERROR(__xludf.DUMMYFUNCTION("""COMPUTED_VALUE"""),201.0)</f>
        <v>201</v>
      </c>
      <c r="B60" s="51">
        <f>IFERROR(__xludf.DUMMYFUNCTION("""COMPUTED_VALUE"""),44929.0)</f>
        <v>44929</v>
      </c>
      <c r="C60" s="27" t="str">
        <f>IFERROR(__xludf.DUMMYFUNCTION("""COMPUTED_VALUE"""),"Custom: Boy Feet Worship")</f>
        <v>Custom: Boy Feet Worship</v>
      </c>
      <c r="D60" s="27" t="str">
        <f>IFERROR(__xludf.DUMMYFUNCTION("""COMPUTED_VALUE"""),"A sensual story about me encouraging the listener to jerk off and masturbate to little feet.")</f>
        <v>A sensual story about me encouraging the listener to jerk off and masturbate to little feet.</v>
      </c>
      <c r="E60" s="27" t="str">
        <f>IFERROR(__xludf.DUMMYFUNCTION("""COMPUTED_VALUE"""),"soft &amp; sensual, encouragement, foot fetish, soles, toes, male masturbation, sensual teasing, cumming on feet, ap feet")</f>
        <v>soft &amp; sensual, encouragement, foot fetish, soles, toes, male masturbation, sensual teasing, cumming on feet, ap feet</v>
      </c>
    </row>
    <row r="61">
      <c r="A61" s="52">
        <f>IFERROR(__xludf.DUMMYFUNCTION("""COMPUTED_VALUE"""),203.0)</f>
        <v>203</v>
      </c>
      <c r="B61" s="51">
        <f>IFERROR(__xludf.DUMMYFUNCTION("""COMPUTED_VALUE"""),44932.0)</f>
        <v>44932</v>
      </c>
      <c r="C61" s="27" t="str">
        <f>IFERROR(__xludf.DUMMYFUNCTION("""COMPUTED_VALUE"""),"Silent Call: Lesbo Perv")</f>
        <v>Silent Call: Lesbo Perv</v>
      </c>
      <c r="D61" s="27" t="str">
        <f>IFERROR(__xludf.DUMMYFUNCTION("""COMPUTED_VALUE"""),"I roleplay that you are my sexual partner and you know I love lesbian porn. Tonight you sent me young pictures and I realize I'm into it.")</f>
        <v>I roleplay that you are my sexual partner and you know I love lesbian porn. Tonight you sent me young pictures and I realize I'm into it.</v>
      </c>
      <c r="E61" s="27" t="str">
        <f>IFERROR(__xludf.DUMMYFUNCTION("""COMPUTED_VALUE"""),"lesbian, female masturbation, you watch I fuck, pussy eating, making out, scissoring, squirt, face sitting, fingering, pervert encouragement")</f>
        <v>lesbian, female masturbation, you watch I fuck, pussy eating, making out, scissoring, squirt, face sitting, fingering, pervert encouragement</v>
      </c>
    </row>
    <row r="62">
      <c r="A62" s="52">
        <f>IFERROR(__xludf.DUMMYFUNCTION("""COMPUTED_VALUE"""),204.0)</f>
        <v>204</v>
      </c>
      <c r="B62" s="51">
        <f>IFERROR(__xludf.DUMMYFUNCTION("""COMPUTED_VALUE"""),44933.0)</f>
        <v>44933</v>
      </c>
      <c r="C62" s="27" t="str">
        <f>IFERROR(__xludf.DUMMYFUNCTION("""COMPUTED_VALUE"""),"Silent Call: Accomplice Brings Drugs")</f>
        <v>Silent Call: Accomplice Brings Drugs</v>
      </c>
      <c r="D62" s="27" t="str">
        <f>IFERROR(__xludf.DUMMYFUNCTION("""COMPUTED_VALUE"""),"I'm your accomplice and bring your favorite kind of toy but this time I think you need to experience an unconscious little toy (our connection cut out a couple times, so you'll hear where I had to stop and repeat the last thing said)")</f>
        <v>I'm your accomplice and bring your favorite kind of toy but this time I think you need to experience an unconscious little toy (our connection cut out a couple times, so you'll hear where I had to stop and repeat the last thing said)</v>
      </c>
      <c r="E62" s="27" t="str">
        <f>IFERROR(__xludf.DUMMYFUNCTION("""COMPUTED_VALUE"""),"accomplice, intoxication, unconscious, oral, deep throat, creampie mention, no anal, encouragement")</f>
        <v>accomplice, intoxication, unconscious, oral, deep throat, creampie mention, no anal, encouragement</v>
      </c>
    </row>
    <row r="63">
      <c r="A63" s="52">
        <f>IFERROR(__xludf.DUMMYFUNCTION("""COMPUTED_VALUE"""),205.0)</f>
        <v>205</v>
      </c>
      <c r="B63" s="51">
        <f>IFERROR(__xludf.DUMMYFUNCTION("""COMPUTED_VALUE"""),44935.0)</f>
        <v>44935</v>
      </c>
      <c r="C63" s="27" t="str">
        <f>IFERROR(__xludf.DUMMYFUNCTION("""COMPUTED_VALUE"""),"Silent Call: Sensual &amp; Consensual")</f>
        <v>Silent Call: Sensual &amp; Consensual</v>
      </c>
      <c r="D63" s="27" t="str">
        <f>IFERROR(__xludf.DUMMYFUNCTION("""COMPUTED_VALUE"""),"I tell a fantasy story about giving into your most inner desires.")</f>
        <v>I tell a fantasy story about giving into your most inner desires.</v>
      </c>
      <c r="E63" s="27" t="str">
        <f>IFERROR(__xludf.DUMMYFUNCTION("""COMPUTED_VALUE"""),"sensual, consensual sex, no anal, accomplice &amp; corrupting voice in your head, creampie ending, pervert encouragement")</f>
        <v>sensual, consensual sex, no anal, accomplice &amp; corrupting voice in your head, creampie ending, pervert encouragement</v>
      </c>
    </row>
    <row r="64">
      <c r="A64" s="52">
        <f>IFERROR(__xludf.DUMMYFUNCTION("""COMPUTED_VALUE"""),217.0)</f>
        <v>217</v>
      </c>
      <c r="B64" s="51">
        <f>IFERROR(__xludf.DUMMYFUNCTION("""COMPUTED_VALUE"""),44944.0)</f>
        <v>44944</v>
      </c>
      <c r="C64" s="27" t="str">
        <f>IFERROR(__xludf.DUMMYFUNCTION("""COMPUTED_VALUE"""),"Silent Call: Pervert Humiliatrix Girlfriend")</f>
        <v>Silent Call: Pervert Humiliatrix Girlfriend</v>
      </c>
      <c r="D64" s="27" t="str">
        <f>IFERROR(__xludf.DUMMYFUNCTION("""COMPUTED_VALUE"""),"I tell you, my boyfriend, about the big neighborhood news that have made headlines. To my surprise, you get a boner and I humiliate the fuck out of you. ")</f>
        <v>I tell you, my boyfriend, about the big neighborhood news that have made headlines. To my surprise, you get a boner and I humiliate the fuck out of you. </v>
      </c>
      <c r="E64" s="27" t="str">
        <f>IFERROR(__xludf.DUMMYFUNCTION("""COMPUTED_VALUE"""),"femdom vibes, humiliation, jerk off encouragement while humiliating")</f>
        <v>femdom vibes, humiliation, jerk off encouragement while humiliating</v>
      </c>
    </row>
    <row r="65">
      <c r="A65" s="52">
        <f>IFERROR(__xludf.DUMMYFUNCTION("""COMPUTED_VALUE"""),222.0)</f>
        <v>222</v>
      </c>
      <c r="B65" s="51">
        <f>IFERROR(__xludf.DUMMYFUNCTION("""COMPUTED_VALUE"""),44951.0)</f>
        <v>44951</v>
      </c>
      <c r="C65" s="27" t="str">
        <f>IFERROR(__xludf.DUMMYFUNCTION("""COMPUTED_VALUE"""),"Custom: Honeymoon Brothel Part 2")</f>
        <v>Custom: Honeymoon Brothel Part 2</v>
      </c>
      <c r="D65" s="27" t="str">
        <f>IFERROR(__xludf.DUMMYFUNCTION("""COMPUTED_VALUE"""),"A couple just got married and are honeymooning in Vietnam where certain brothels are legal. They show up for their second visit. ")</f>
        <v>A couple just got married and are honeymooning in Vietnam where certain brothels are legal. They show up for their second visit. </v>
      </c>
      <c r="E65" s="27" t="str">
        <f>IFERROR(__xludf.DUMMYFUNCTION("""COMPUTED_VALUE"""),"female moans, corrupted, sadism, accomplice, femdom, oral, oral sfx, doggy style, missionary, face sitting, multiple orgasms, anal, anal creampie, creampie cleanup, pervert encouragement, accomplice")</f>
        <v>female moans, corrupted, sadism, accomplice, femdom, oral, oral sfx, doggy style, missionary, face sitting, multiple orgasms, anal, anal creampie, creampie cleanup, pervert encouragement, accomplice</v>
      </c>
    </row>
    <row r="66">
      <c r="A66" s="52">
        <f>IFERROR(__xludf.DUMMYFUNCTION("""COMPUTED_VALUE"""),227.0)</f>
        <v>227</v>
      </c>
      <c r="B66" s="51">
        <f>IFERROR(__xludf.DUMMYFUNCTION("""COMPUTED_VALUE"""),44956.0)</f>
        <v>44956</v>
      </c>
      <c r="C66" s="27" t="str">
        <f>IFERROR(__xludf.DUMMYFUNCTION("""COMPUTED_VALUE"""),"Custom: Caring Companion Rehab Program")</f>
        <v>Custom: Caring Companion Rehab Program</v>
      </c>
      <c r="D66" s="27" t="str">
        <f>IFERROR(__xludf.DUMMYFUNCTION("""COMPUTED_VALUE"""),"I am the head sex therapist at a rehabiliation program for serial offenders. I equip men with a fuck toy companion, teaching them strategies for controling their brutal urges. I introduce a new patient into the program. ")</f>
        <v>I am the head sex therapist at a rehabiliation program for serial offenders. I equip men with a fuck toy companion, teaching them strategies for controling their brutal urges. I introduce a new patient into the program. </v>
      </c>
      <c r="E66" s="27" t="str">
        <f>IFERROR(__xludf.DUMMYFUNCTION("""COMPUTED_VALUE"""),"doctor/patient, noncon, free use slut, red head, deep throat, extreme use, unconscious, snuff, pervert encouragement")</f>
        <v>doctor/patient, noncon, free use slut, red head, deep throat, extreme use, unconscious, snuff, pervert encouragement</v>
      </c>
    </row>
    <row r="67">
      <c r="A67" s="52">
        <f>IFERROR(__xludf.DUMMYFUNCTION("""COMPUTED_VALUE"""),228.0)</f>
        <v>228</v>
      </c>
      <c r="B67" s="51">
        <f>IFERROR(__xludf.DUMMYFUNCTION("""COMPUTED_VALUE"""),44956.0)</f>
        <v>44956</v>
      </c>
      <c r="C67" s="27" t="str">
        <f>IFERROR(__xludf.DUMMYFUNCTION("""COMPUTED_VALUE"""),"Little Panty &amp; Undie Cafe")</f>
        <v>Little Panty &amp; Undie Cafe</v>
      </c>
      <c r="D67" s="27" t="str">
        <f>IFERROR(__xludf.DUMMYFUNCTION("""COMPUTED_VALUE"""),"You are visiting the Tiny Panty &amp; Undie Cafe for the first time. I walk you around and show you the services we have to offer. ")</f>
        <v>You are visiting the Tiny Panty &amp; Undie Cafe for the first time. I walk you around and show you the services we have to offer. </v>
      </c>
      <c r="E67" s="27" t="str">
        <f>IFERROR(__xludf.DUMMYFUNCTION("""COMPUTED_VALUE"""),"panties, undies, brothel, panty/undie sniffing, male masturbation, Czech glory hole, oral, rimming, fingering, glory hole, anal, bisexual, pervert encouragement")</f>
        <v>panties, undies, brothel, panty/undie sniffing, male masturbation, Czech glory hole, oral, rimming, fingering, glory hole, anal, bisexual, pervert encouragement</v>
      </c>
    </row>
    <row r="68">
      <c r="A68" s="52">
        <f>IFERROR(__xludf.DUMMYFUNCTION("""COMPUTED_VALUE"""),229.0)</f>
        <v>229</v>
      </c>
      <c r="B68" s="51">
        <f>IFERROR(__xludf.DUMMYFUNCTION("""COMPUTED_VALUE"""),44956.0)</f>
        <v>44956</v>
      </c>
      <c r="C68" s="27" t="str">
        <f>IFERROR(__xludf.DUMMYFUNCTION("""COMPUTED_VALUE"""),"Silent Call: Deep Throat Dolls")</f>
        <v>Silent Call: Deep Throat Dolls</v>
      </c>
      <c r="D68" s="27" t="str">
        <f>IFERROR(__xludf.DUMMYFUNCTION("""COMPUTED_VALUE"""),"I provide you with two dolls to deepthroat at my brothel, insisting you lose control on them. ")</f>
        <v>I provide you with two dolls to deepthroat at my brothel, insisting you lose control on them. </v>
      </c>
      <c r="E68" s="27" t="str">
        <f>IFERROR(__xludf.DUMMYFUNCTION("""COMPUTED_VALUE"""),"brothel, deep throat, unconscious, belly creampie, pervert encouragement")</f>
        <v>brothel, deep throat, unconscious, belly creampie, pervert encouragement</v>
      </c>
    </row>
    <row r="69">
      <c r="A69" s="52">
        <f>IFERROR(__xludf.DUMMYFUNCTION("""COMPUTED_VALUE"""),230.0)</f>
        <v>230</v>
      </c>
      <c r="B69" s="51">
        <f>IFERROR(__xludf.DUMMYFUNCTION("""COMPUTED_VALUE"""),44958.0)</f>
        <v>44958</v>
      </c>
      <c r="C69" s="27" t="str">
        <f>IFERROR(__xludf.DUMMYFUNCTION("""COMPUTED_VALUE"""),"Girlfriend Makes You Pervier")</f>
        <v>Girlfriend Makes You Pervier</v>
      </c>
      <c r="D69" s="27" t="str">
        <f>IFERROR(__xludf.DUMMYFUNCTION("""COMPUTED_VALUE"""),"You invite me to help you babysit your niece. I secretly give you handjobs, teasing you with the possibilities. ")</f>
        <v>You invite me to help you babysit your niece. I secretly give you handjobs, teasing you with the possibilities. </v>
      </c>
      <c r="E69" s="27" t="str">
        <f>IFERROR(__xludf.DUMMYFUNCTION("""COMPUTED_VALUE"""),"secret handjob, lap sitting, uncle/niece, pervy gfe, tease, whispers, incest, accomplice, pervert encouragement")</f>
        <v>secret handjob, lap sitting, uncle/niece, pervy gfe, tease, whispers, incest, accomplice, pervert encouragement</v>
      </c>
    </row>
    <row r="70">
      <c r="A70" s="52">
        <f>IFERROR(__xludf.DUMMYFUNCTION("""COMPUTED_VALUE"""),231.0)</f>
        <v>231</v>
      </c>
      <c r="B70" s="51">
        <f>IFERROR(__xludf.DUMMYFUNCTION("""COMPUTED_VALUE"""),44960.0)</f>
        <v>44960</v>
      </c>
      <c r="C70" s="27" t="str">
        <f>IFERROR(__xludf.DUMMYFUNCTION("""COMPUTED_VALUE"""),"Silent Call Perv Encouraging Girlfriend Experience")</f>
        <v>Silent Call Perv Encouraging Girlfriend Experience</v>
      </c>
      <c r="D70" s="27" t="str">
        <f>IFERROR(__xludf.DUMMYFUNCTION("""COMPUTED_VALUE"""),"Let me role-play as your girlfriend who encourages you to be the pervert you are, coming up with ideas to satisfy your desires. ")</f>
        <v>Let me role-play as your girlfriend who encourages you to be the pervert you are, coming up with ideas to satisfy your desires. </v>
      </c>
      <c r="E70" s="27" t="str">
        <f>IFERROR(__xludf.DUMMYFUNCTION("""COMPUTED_VALUE"""),"pervy gfe, throat use, porn, noncon, pervert encouragement, accomplice")</f>
        <v>pervy gfe, throat use, porn, noncon, pervert encouragement, accomplice</v>
      </c>
    </row>
    <row r="71">
      <c r="A71" s="52">
        <f>IFERROR(__xludf.DUMMYFUNCTION("""COMPUTED_VALUE"""),232.0)</f>
        <v>232</v>
      </c>
      <c r="B71" s="51">
        <f>IFERROR(__xludf.DUMMYFUNCTION("""COMPUTED_VALUE"""),44961.0)</f>
        <v>44961</v>
      </c>
      <c r="C71" s="27" t="str">
        <f>IFERROR(__xludf.DUMMYFUNCTION("""COMPUTED_VALUE"""),"Custom: Mommy's Gooner Girl")</f>
        <v>Custom: Mommy's Gooner Girl</v>
      </c>
      <c r="D71" s="27" t="str">
        <f>IFERROR(__xludf.DUMMYFUNCTION("""COMPUTED_VALUE"""),"Sissy hypno, without the use of the word sissy. I encourage the listener to put on their feminine slut uniform, sniff popper, and turn into mommy’s gooner girl, gooning to naughty thoughts and images. ")</f>
        <v>Sissy hypno, without the use of the word sissy. I encourage the listener to put on their feminine slut uniform, sniff popper, and turn into mommy’s gooner girl, gooning to naughty thoughts and images. </v>
      </c>
      <c r="E71" s="27" t="str">
        <f>IFERROR(__xludf.DUMMYFUNCTION("""COMPUTED_VALUE"""),"hypno, feminization, poppers, binaural, good girl, goon encouragement, anal toy play, bimbofication, get dumb and empty")</f>
        <v>hypno, feminization, poppers, binaural, good girl, goon encouragement, anal toy play, bimbofication, get dumb and empty</v>
      </c>
    </row>
    <row r="72">
      <c r="A72" s="52">
        <f>IFERROR(__xludf.DUMMYFUNCTION("""COMPUTED_VALUE"""),236.0)</f>
        <v>236</v>
      </c>
      <c r="B72" s="51">
        <f>IFERROR(__xludf.DUMMYFUNCTION("""COMPUTED_VALUE"""),44967.0)</f>
        <v>44967</v>
      </c>
      <c r="C72" s="27" t="str">
        <f>IFERROR(__xludf.DUMMYFUNCTION("""COMPUTED_VALUE"""),"Public Posted: Perverted Valentine's Day Homewrecking")</f>
        <v>Public Posted: Perverted Valentine's Day Homewrecking</v>
      </c>
      <c r="D72" s="27" t="str">
        <f>IFERROR(__xludf.DUMMYFUNCTION("""COMPUTED_VALUE"""),"A teasing Valentine's Day themed audio where I play around with homewrecking and your own perversions.")</f>
        <v>A teasing Valentine's Day themed audio where I play around with homewrecking and your own perversions.</v>
      </c>
      <c r="E72" s="27" t="str">
        <f>IFERROR(__xludf.DUMMYFUNCTION("""COMPUTED_VALUE"""),"homewrecking, confess your fantasies, exposed, perverts only, pervert encouragement")</f>
        <v>homewrecking, confess your fantasies, exposed, perverts only, pervert encouragement</v>
      </c>
    </row>
    <row r="73">
      <c r="A73" s="52">
        <f>IFERROR(__xludf.DUMMYFUNCTION("""COMPUTED_VALUE"""),237.0)</f>
        <v>237</v>
      </c>
      <c r="B73" s="51">
        <f>IFERROR(__xludf.DUMMYFUNCTION("""COMPUTED_VALUE"""),44967.0)</f>
        <v>44967</v>
      </c>
      <c r="C73" s="27" t="str">
        <f>IFERROR(__xludf.DUMMYFUNCTION("""COMPUTED_VALUE"""),"Custom: Valentine's Day Gift")</f>
        <v>Custom: Valentine's Day Gift</v>
      </c>
      <c r="D73" s="27" t="str">
        <f>IFERROR(__xludf.DUMMYFUNCTION("""COMPUTED_VALUE"""),"I am your girlfriend and we come back to a hotel room after Valentine’s Day dinner out where I blindfold and introduce another guest into our room, one that satisfies your biggest perverted fantasy.")</f>
        <v>I am your girlfriend and we come back to a hotel room after Valentine’s Day dinner out where I blindfold and introduce another guest into our room, one that satisfies your biggest perverted fantasy.</v>
      </c>
      <c r="E73" s="27" t="str">
        <f>IFERROR(__xludf.DUMMYFUNCTION("""COMPUTED_VALUE"""),"pervy girlfriend experience, threesome, kissing, oral, rimming, cowgirl, doggy style, creampe, creampie cleanup, squirting on her face, accomplice, pervert encouragement")</f>
        <v>pervy girlfriend experience, threesome, kissing, oral, rimming, cowgirl, doggy style, creampe, creampie cleanup, squirting on her face, accomplice, pervert encouragement</v>
      </c>
    </row>
    <row r="74">
      <c r="A74" s="52">
        <f>IFERROR(__xludf.DUMMYFUNCTION("""COMPUTED_VALUE"""),243.0)</f>
        <v>243</v>
      </c>
      <c r="B74" s="51">
        <f>IFERROR(__xludf.DUMMYFUNCTION("""COMPUTED_VALUE"""),44978.0)</f>
        <v>44978</v>
      </c>
      <c r="C74" s="27" t="str">
        <f>IFERROR(__xludf.DUMMYFUNCTION("""COMPUTED_VALUE"""),"Custom: Adult Woman In A Tiny Body")</f>
        <v>Custom: Adult Woman In A Tiny Body</v>
      </c>
      <c r="D74" s="27" t="str">
        <f>IFERROR(__xludf.DUMMYFUNCTION("""COMPUTED_VALUE"""),"I’m a grown woman, but have a physical defect that’s caused my body to not fully develop. I give my story of what it’s been like to date men and then have sex with listener. ")</f>
        <v>I’m a grown woman, but have a physical defect that’s caused my body to not fully develop. I give my story of what it’s been like to date men and then have sex with listener. </v>
      </c>
      <c r="E74" s="27" t="str">
        <f>IFERROR(__xludf.DUMMYFUNCTION("""COMPUTED_VALUE"""),"noncon, porn, online pervs, oral sfx, deep throat, crying, creampie, pervert encouragement")</f>
        <v>noncon, porn, online pervs, oral sfx, deep throat, crying, creampie, pervert encouragement</v>
      </c>
    </row>
    <row r="75">
      <c r="A75" s="52">
        <f>IFERROR(__xludf.DUMMYFUNCTION("""COMPUTED_VALUE"""),244.0)</f>
        <v>244</v>
      </c>
      <c r="B75" s="51">
        <f>IFERROR(__xludf.DUMMYFUNCTION("""COMPUTED_VALUE"""),44978.0)</f>
        <v>44978</v>
      </c>
      <c r="C75" s="27" t="str">
        <f>IFERROR(__xludf.DUMMYFUNCTION("""COMPUTED_VALUE"""),"Silent Call: Perv Gooner Therapy")</f>
        <v>Silent Call: Perv Gooner Therapy</v>
      </c>
      <c r="D75" s="27" t="str">
        <f>IFERROR(__xludf.DUMMYFUNCTION("""COMPUTED_VALUE"""),"I am sex therapist that wants you to accept and stroke to your true perverted self and ultimate desires. ")</f>
        <v>I am sex therapist that wants you to accept and stroke to your true perverted self and ultimate desires. </v>
      </c>
      <c r="E75" s="27" t="str">
        <f>IFERROR(__xludf.DUMMYFUNCTION("""COMPUTED_VALUE"""),"goon encouragement, noncon, mind break, addiction, pervert encouragement")</f>
        <v>goon encouragement, noncon, mind break, addiction, pervert encouragement</v>
      </c>
    </row>
    <row r="76">
      <c r="A76" s="52">
        <f>IFERROR(__xludf.DUMMYFUNCTION("""COMPUTED_VALUE"""),247.0)</f>
        <v>247</v>
      </c>
      <c r="B76" s="51">
        <f>IFERROR(__xludf.DUMMYFUNCTION("""COMPUTED_VALUE"""),44981.0)</f>
        <v>44981</v>
      </c>
      <c r="C76" s="27" t="str">
        <f>IFERROR(__xludf.DUMMYFUNCTION("""COMPUTED_VALUE"""),"Silent Call: Forbidden Sensual Desire")</f>
        <v>Silent Call: Forbidden Sensual Desire</v>
      </c>
      <c r="D76" s="27" t="str">
        <f>IFERROR(__xludf.DUMMYFUNCTION("""COMPUTED_VALUE"""),"I'’m that devil on your shoulder having you imagine what it would be like to give into your one, true forbidden desire")</f>
        <v>I'’m that devil on your shoulder having you imagine what it would be like to give into your one, true forbidden desire</v>
      </c>
      <c r="E76" s="27" t="str">
        <f>IFERROR(__xludf.DUMMYFUNCTION("""COMPUTED_VALUE"""),"no anal, no oral, little nipple worship, missionary, slow burn, sensual, it’s our secret, pervert encouragement")</f>
        <v>no anal, no oral, little nipple worship, missionary, slow burn, sensual, it’s our secret, pervert encouragement</v>
      </c>
    </row>
    <row r="77">
      <c r="A77" s="52">
        <f>IFERROR(__xludf.DUMMYFUNCTION("""COMPUTED_VALUE"""),249.0)</f>
        <v>249</v>
      </c>
      <c r="B77" s="51">
        <f>IFERROR(__xludf.DUMMYFUNCTION("""COMPUTED_VALUE"""),44984.0)</f>
        <v>44984</v>
      </c>
      <c r="C77" s="27" t="str">
        <f>IFERROR(__xludf.DUMMYFUNCTION("""COMPUTED_VALUE"""),"Silent Call: She's Sleeping")</f>
        <v>Silent Call: She's Sleeping</v>
      </c>
      <c r="D77" s="27" t="str">
        <f>IFERROR(__xludf.DUMMYFUNCTION("""COMPUTED_VALUE"""),"She’s sleeping and I’m that evil accomplice voice in your head. ")</f>
        <v>She’s sleeping and I’m that evil accomplice voice in your head. </v>
      </c>
      <c r="E77" s="27" t="str">
        <f>IFERROR(__xludf.DUMMYFUNCTION("""COMPUTED_VALUE"""),"accomplice, sleeping girl, missionary, no oral, no anal, creampie ending, pervert encouragement")</f>
        <v>accomplice, sleeping girl, missionary, no oral, no anal, creampie ending, pervert encouragement</v>
      </c>
    </row>
    <row r="78">
      <c r="A78" s="52">
        <f>IFERROR(__xludf.DUMMYFUNCTION("""COMPUTED_VALUE"""),251.0)</f>
        <v>251</v>
      </c>
      <c r="B78" s="51">
        <f>IFERROR(__xludf.DUMMYFUNCTION("""COMPUTED_VALUE"""),44987.0)</f>
        <v>44987</v>
      </c>
      <c r="C78" s="27" t="str">
        <f>IFERROR(__xludf.DUMMYFUNCTION("""COMPUTED_VALUE"""),"Silent Call- GF Visits Center for Sexual Deviants")</f>
        <v>Silent Call- GF Visits Center for Sexual Deviants</v>
      </c>
      <c r="D78" s="27" t="str">
        <f>IFERROR(__xludf.DUMMYFUNCTION("""COMPUTED_VALUE"""),"Dr. Beatrix sits down with the listeners girlfriend explaining why you have spent time in her Center for Sexual Deviants and how to rehabilitate you into society. ")</f>
        <v>Dr. Beatrix sits down with the listeners girlfriend explaining why you have spent time in her Center for Sexual Deviants and how to rehabilitate you into society. </v>
      </c>
      <c r="E78" s="27" t="str">
        <f>IFERROR(__xludf.DUMMYFUNCTION("""COMPUTED_VALUE"""),"third person listener experience, sexual deviant, addiction, goon encouragement, snuff, noncon, no anal, extreme throat use, pervert encouragement")</f>
        <v>third person listener experience, sexual deviant, addiction, goon encouragement, snuff, noncon, no anal, extreme throat use, pervert encouragement</v>
      </c>
    </row>
    <row r="79">
      <c r="A79" s="52">
        <f>IFERROR(__xludf.DUMMYFUNCTION("""COMPUTED_VALUE"""),253.0)</f>
        <v>253</v>
      </c>
      <c r="B79" s="51">
        <f>IFERROR(__xludf.DUMMYFUNCTION("""COMPUTED_VALUE"""),44991.0)</f>
        <v>44991</v>
      </c>
      <c r="C79" s="27" t="str">
        <f>IFERROR(__xludf.DUMMYFUNCTION("""COMPUTED_VALUE"""),"Silent Call: Encouraging Perv GF")</f>
        <v>Silent Call: Encouraging Perv GF</v>
      </c>
      <c r="D79" s="27" t="str">
        <f>IFERROR(__xludf.DUMMYFUNCTION("""COMPUTED_VALUE"""),"I play as your girlfriend and dig into what your true desires are, encouraging you to be as sick and twisted as you want to be")</f>
        <v>I play as your girlfriend and dig into what your true desires are, encouraging you to be as sick and twisted as you want to be</v>
      </c>
      <c r="E79" s="27" t="str">
        <f>IFERROR(__xludf.DUMMYFUNCTION("""COMPUTED_VALUE"""),"accomplice, pervy gfe, noncon, perv encouragement, choking, pervert encouragement")</f>
        <v>accomplice, pervy gfe, noncon, perv encouragement, choking, pervert encouragement</v>
      </c>
    </row>
    <row r="80">
      <c r="A80" s="52">
        <f>IFERROR(__xludf.DUMMYFUNCTION("""COMPUTED_VALUE"""),254.0)</f>
        <v>254</v>
      </c>
      <c r="B80" s="51">
        <f>IFERROR(__xludf.DUMMYFUNCTION("""COMPUTED_VALUE"""),44993.0)</f>
        <v>44993</v>
      </c>
      <c r="C80" s="27" t="str">
        <f>IFERROR(__xludf.DUMMYFUNCTION("""COMPUTED_VALUE"""),"Silent Call: Size Difference ")</f>
        <v>Silent Call: Size Difference </v>
      </c>
      <c r="D80" s="27" t="str">
        <f>IFERROR(__xludf.DUMMYFUNCTION("""COMPUTED_VALUE"""),"I narrate an experience you have for the first time that involves major size difference")</f>
        <v>I narrate an experience you have for the first time that involves major size difference</v>
      </c>
      <c r="E80" s="27" t="str">
        <f>IFERROR(__xludf.DUMMYFUNCTION("""COMPUTED_VALUE"""),"noncon, no oral, no anal, creampie, breeding mention, pervert encouragement")</f>
        <v>noncon, no oral, no anal, creampie, breeding mention, pervert encouragement</v>
      </c>
    </row>
    <row r="81">
      <c r="A81" s="52">
        <f>IFERROR(__xludf.DUMMYFUNCTION("""COMPUTED_VALUE"""),259.0)</f>
        <v>259</v>
      </c>
      <c r="B81" s="51">
        <f>IFERROR(__xludf.DUMMYFUNCTION("""COMPUTED_VALUE"""),44996.0)</f>
        <v>44996</v>
      </c>
      <c r="C81" s="27" t="str">
        <f>IFERROR(__xludf.DUMMYFUNCTION("""COMPUTED_VALUE"""),"Script Fill: Loralei's Proposition To Her Voyeur  ")</f>
        <v>Script Fill: Loralei's Proposition To Her Voyeur  </v>
      </c>
      <c r="D81" s="27" t="str">
        <f>IFERROR(__xludf.DUMMYFUNCTION("""COMPUTED_VALUE"""),"A girl lets her teacher know she knows he's been spying on her and makes a proposition. ")</f>
        <v>A girl lets her teacher know she knows he's been spying on her and makes a proposition. </v>
      </c>
      <c r="E81" s="27" t="str">
        <f>IFERROR(__xludf.DUMMYFUNCTION("""COMPUTED_VALUE"""),"teacher/student, voyuer, spying, breeding, watersports, pervert encouragement")</f>
        <v>teacher/student, voyuer, spying, breeding, watersports, pervert encouragement</v>
      </c>
    </row>
    <row r="82">
      <c r="A82" s="52">
        <f>IFERROR(__xludf.DUMMYFUNCTION("""COMPUTED_VALUE"""),260.0)</f>
        <v>260</v>
      </c>
      <c r="B82" s="51">
        <f>IFERROR(__xludf.DUMMYFUNCTION("""COMPUTED_VALUE"""),44996.0)</f>
        <v>44996</v>
      </c>
      <c r="C82" s="27" t="str">
        <f>IFERROR(__xludf.DUMMYFUNCTION("""COMPUTED_VALUE"""),"Silent Call: Your GF The RVictim")</f>
        <v>Silent Call: Your GF The RVictim</v>
      </c>
      <c r="D82" s="27" t="str">
        <f>IFERROR(__xludf.DUMMYFUNCTION("""COMPUTED_VALUE"""),"Your girlfriend has a dark past that left her feeling like a piece a trash her whole life until she met you because of your dark interests. ")</f>
        <v>Your girlfriend has a dark past that left her feeling like a piece a trash her whole life until she met you because of your dark interests. </v>
      </c>
      <c r="E82" s="27" t="str">
        <f>IFERROR(__xludf.DUMMYFUNCTION("""COMPUTED_VALUE"""),"noncon, pervy gfe, mouth use, kidnapped, creampie, pervert encouragement")</f>
        <v>noncon, pervy gfe, mouth use, kidnapped, creampie, pervert encouragement</v>
      </c>
    </row>
    <row r="83">
      <c r="A83" s="52">
        <f>IFERROR(__xludf.DUMMYFUNCTION("""COMPUTED_VALUE"""),262.0)</f>
        <v>262</v>
      </c>
      <c r="B83" s="51">
        <f>IFERROR(__xludf.DUMMYFUNCTION("""COMPUTED_VALUE"""),44997.0)</f>
        <v>44997</v>
      </c>
      <c r="C83" s="27" t="str">
        <f>IFERROR(__xludf.DUMMYFUNCTION("""COMPUTED_VALUE"""),"Script Fill: Erika Consides in Mr. Toast")</f>
        <v>Script Fill: Erika Consides in Mr. Toast</v>
      </c>
      <c r="D83" s="27" t="str">
        <f>IFERROR(__xludf.DUMMYFUNCTION("""COMPUTED_VALUE"""),"Erika confides in her stuffed animal about the perv neighbor that’s been inviting her over and teaching her about sex. ")</f>
        <v>Erika confides in her stuffed animal about the perv neighbor that’s been inviting her over and teaching her about sex. </v>
      </c>
      <c r="E83" s="27" t="str">
        <f>IFERROR(__xludf.DUMMYFUNCTION("""COMPUTED_VALUE"""),"confession, innocence, narrative, no anal, perverted sex education, pervert encouragement")</f>
        <v>confession, innocence, narrative, no anal, perverted sex education, pervert encouragement</v>
      </c>
    </row>
    <row r="84">
      <c r="A84" s="52">
        <f>IFERROR(__xludf.DUMMYFUNCTION("""COMPUTED_VALUE"""),266.0)</f>
        <v>266</v>
      </c>
      <c r="B84" s="51">
        <f>IFERROR(__xludf.DUMMYFUNCTION("""COMPUTED_VALUE"""),45007.0)</f>
        <v>45007</v>
      </c>
      <c r="C84" s="27" t="str">
        <f>IFERROR(__xludf.DUMMYFUNCTION("""COMPUTED_VALUE"""),"Retro Extreme Perv JOI Aerobics Tape")</f>
        <v>Retro Extreme Perv JOI Aerobics Tape</v>
      </c>
      <c r="D84" s="27" t="str">
        <f>IFERROR(__xludf.DUMMYFUNCTION("""COMPUTED_VALUE"""),"Point of view: you found a vhs tape from the 80s at the bottom of a pile at your local goodwill and it turns out, it’s an extreme Jerker-cise cock exercise JOI style for extreme perverts. ")</f>
        <v>Point of view: you found a vhs tape from the 80s at the bottom of a pile at your local goodwill and it turns out, it’s an extreme Jerker-cise cock exercise JOI style for extreme perverts. </v>
      </c>
      <c r="E84" s="27" t="str">
        <f>IFERROR(__xludf.DUMMYFUNCTION("""COMPUTED_VALUE"""),"vintage sfx, misogyny, male masturbation, noncon, female degradation, JOI, 80s style perverted aerobics style, deep throat, anal, creampies, cum countdown, aftercare, pervert encouragement")</f>
        <v>vintage sfx, misogyny, male masturbation, noncon, female degradation, JOI, 80s style perverted aerobics style, deep throat, anal, creampies, cum countdown, aftercare, pervert encouragement</v>
      </c>
    </row>
    <row r="85">
      <c r="A85" s="52">
        <f>IFERROR(__xludf.DUMMYFUNCTION("""COMPUTED_VALUE"""),267.0)</f>
        <v>267</v>
      </c>
      <c r="B85" s="51">
        <f>IFERROR(__xludf.DUMMYFUNCTION("""COMPUTED_VALUE"""),45008.0)</f>
        <v>45008</v>
      </c>
      <c r="C85" s="27" t="str">
        <f>IFERROR(__xludf.DUMMYFUNCTION("""COMPUTED_VALUE"""),"Dolls Porn Production Interview")</f>
        <v>Dolls Porn Production Interview</v>
      </c>
      <c r="D85" s="27" t="str">
        <f>IFERROR(__xludf.DUMMYFUNCTION("""COMPUTED_VALUE"""),"You’re interviewing for the male talent position with me. We review your history and capabilities to fill the role and then tour the facility with me. ")</f>
        <v>You’re interviewing for the male talent position with me. We review your history and capabilities to fill the role and then tour the facility with me. </v>
      </c>
      <c r="E85" s="27" t="str">
        <f>IFERROR(__xludf.DUMMYFUNCTION("""COMPUTED_VALUE"""),"alternate reality, extreme, DDlg, fluffer, drug mention, noncon, fingering, porn setting, watersports, bondage, beast, bukkake, helicopter moms, pervert encouragement")</f>
        <v>alternate reality, extreme, DDlg, fluffer, drug mention, noncon, fingering, porn setting, watersports, bondage, beast, bukkake, helicopter moms, pervert encouragement</v>
      </c>
    </row>
    <row r="86">
      <c r="A86" s="52">
        <f>IFERROR(__xludf.DUMMYFUNCTION("""COMPUTED_VALUE"""),269.0)</f>
        <v>269</v>
      </c>
      <c r="B86" s="51">
        <f>IFERROR(__xludf.DUMMYFUNCTION("""COMPUTED_VALUE"""),45009.0)</f>
        <v>45009</v>
      </c>
      <c r="C86" s="27" t="str">
        <f>IFERROR(__xludf.DUMMYFUNCTION("""COMPUTED_VALUE"""),"Custom: Wank For Mommy")</f>
        <v>Custom: Wank For Mommy</v>
      </c>
      <c r="D86" s="27" t="str">
        <f>IFERROR(__xludf.DUMMYFUNCTION("""COMPUTED_VALUE"""),"Wanking encouragement audio where I encourage a mommy’s boy that it’s okay to fantasize and jerk off to his mom. ")</f>
        <v>Wanking encouragement audio where I encourage a mommy’s boy that it’s okay to fantasize and jerk off to his mom. </v>
      </c>
      <c r="E86" s="27" t="str">
        <f>IFERROR(__xludf.DUMMYFUNCTION("""COMPUTED_VALUE"""),"MDlb, masturbation encouragement, CEI, heavy mom tits, hairy pussy, rimming, cunninlingus, incest")</f>
        <v>MDlb, masturbation encouragement, CEI, heavy mom tits, hairy pussy, rimming, cunninlingus, incest</v>
      </c>
    </row>
    <row r="87">
      <c r="A87" s="52">
        <f>IFERROR(__xludf.DUMMYFUNCTION("""COMPUTED_VALUE"""),274.0)</f>
        <v>274</v>
      </c>
      <c r="B87" s="51">
        <f>IFERROR(__xludf.DUMMYFUNCTION("""COMPUTED_VALUE"""),45014.0)</f>
        <v>45014</v>
      </c>
      <c r="C87" s="27" t="str">
        <f>IFERROR(__xludf.DUMMYFUNCTION("""COMPUTED_VALUE"""),"Custom: Confession of a Female Pervert")</f>
        <v>Custom: Confession of a Female Pervert</v>
      </c>
      <c r="D87" s="27" t="str">
        <f>IFERROR(__xludf.DUMMYFUNCTION("""COMPUTED_VALUE"""),"A PSO confesses how deep down the rabbit hole she fell, fully corrupted and obsessed with her perversion. ")</f>
        <v>A PSO confesses how deep down the rabbit hole she fell, fully corrupted and obsessed with her perversion. </v>
      </c>
      <c r="E87" s="27" t="str">
        <f>IFERROR(__xludf.DUMMYFUNCTION("""COMPUTED_VALUE"""),"sapphic desires, lesbian perv, corruption, female masturbation, watersports, panty sniffing, pervert encouragement")</f>
        <v>sapphic desires, lesbian perv, corruption, female masturbation, watersports, panty sniffing, pervert encouragement</v>
      </c>
    </row>
    <row r="88">
      <c r="A88" s="52">
        <f>IFERROR(__xludf.DUMMYFUNCTION("""COMPUTED_VALUE"""),279.0)</f>
        <v>279</v>
      </c>
      <c r="B88" s="51">
        <f>IFERROR(__xludf.DUMMYFUNCTION("""COMPUTED_VALUE"""),45020.0)</f>
        <v>45020</v>
      </c>
      <c r="C88" s="27" t="str">
        <f>IFERROR(__xludf.DUMMYFUNCTION("""COMPUTED_VALUE"""),"Custom: Mommy's Wanking Lesson")</f>
        <v>Custom: Mommy's Wanking Lesson</v>
      </c>
      <c r="D88" s="27" t="str">
        <f>IFERROR(__xludf.DUMMYFUNCTION("""COMPUTED_VALUE""")," I’ve caught my son watching me have sex with his father and decide it’s time to teach him about wanking and reveal some other things. ")</f>
        <v> I’ve caught my son watching me have sex with his father and decide it’s time to teach him about wanking and reveal some other things. </v>
      </c>
      <c r="E88" s="27" t="str">
        <f>IFERROR(__xludf.DUMMYFUNCTION("""COMPUTED_VALUE"""),"MDlb, masturbation encouragement, loving mommy, L bombs, CEI, tit sucking, handjob, bukkake fantasy, cum on tits")</f>
        <v>MDlb, masturbation encouragement, loving mommy, L bombs, CEI, tit sucking, handjob, bukkake fantasy, cum on tits</v>
      </c>
    </row>
    <row r="89">
      <c r="A89" s="52">
        <f>IFERROR(__xludf.DUMMYFUNCTION("""COMPUTED_VALUE"""),284.0)</f>
        <v>284</v>
      </c>
      <c r="B89" s="51">
        <f>IFERROR(__xludf.DUMMYFUNCTION("""COMPUTED_VALUE"""),45026.0)</f>
        <v>45026</v>
      </c>
      <c r="C89" s="27" t="str">
        <f>IFERROR(__xludf.DUMMYFUNCTION("""COMPUTED_VALUE"""),"Custom: PMC Patient #321")</f>
        <v>Custom: PMC Patient #321</v>
      </c>
      <c r="D89" s="27" t="str">
        <f>IFERROR(__xludf.DUMMYFUNCTION("""COMPUTED_VALUE"""),"Dr Beatrix introduces another patient into the PMC that is addicted to social media cuties. ")</f>
        <v>Dr Beatrix introduces another patient into the PMC that is addicted to social media cuties. </v>
      </c>
      <c r="E89" s="27" t="str">
        <f>IFERROR(__xludf.DUMMYFUNCTION("""COMPUTED_VALUE"""),"doctor/patient, hypno, instagram, gooning encouragement, male masturbation, porn encouragement, pervert encouragement")</f>
        <v>doctor/patient, hypno, instagram, gooning encouragement, male masturbation, porn encouragement, pervert encouragement</v>
      </c>
    </row>
    <row r="90">
      <c r="A90" s="52">
        <f>IFERROR(__xludf.DUMMYFUNCTION("""COMPUTED_VALUE"""),288.0)</f>
        <v>288</v>
      </c>
      <c r="B90" s="51">
        <f>IFERROR(__xludf.DUMMYFUNCTION("""COMPUTED_VALUE"""),45029.0)</f>
        <v>45029</v>
      </c>
      <c r="C90" s="27" t="str">
        <f>IFERROR(__xludf.DUMMYFUNCTION("""COMPUTED_VALUE"""),"Silent Call: Accomplice Knows What You Want")</f>
        <v>Silent Call: Accomplice Knows What You Want</v>
      </c>
      <c r="D90" s="27" t="str">
        <f>IFERROR(__xludf.DUMMYFUNCTION("""COMPUTED_VALUE"""),"You’ve got perverted, depraved desires that only I know about. I know what you need and crave to hear.")</f>
        <v>You’ve got perverted, depraved desires that only I know about. I know what you need and crave to hear.</v>
      </c>
      <c r="E90" s="27" t="str">
        <f>IFERROR(__xludf.DUMMYFUNCTION("""COMPUTED_VALUE"""),"accomplice, perv encouragement, no oral, no anal, creampie, pervert encouragement")</f>
        <v>accomplice, perv encouragement, no oral, no anal, creampie, pervert encouragement</v>
      </c>
    </row>
    <row r="91">
      <c r="A91" s="52">
        <f>IFERROR(__xludf.DUMMYFUNCTION("""COMPUTED_VALUE"""),294.0)</f>
        <v>294</v>
      </c>
      <c r="B91" s="51">
        <f>IFERROR(__xludf.DUMMYFUNCTION("""COMPUTED_VALUE"""),45040.0)</f>
        <v>45040</v>
      </c>
      <c r="C91" s="27" t="str">
        <f>IFERROR(__xludf.DUMMYFUNCTION("""COMPUTED_VALUE"""),"Custom: Do It Counseling Program")</f>
        <v>Custom: Do It Counseling Program</v>
      </c>
      <c r="D91" s="27" t="str">
        <f>IFERROR(__xludf.DUMMYFUNCTION("""COMPUTED_VALUE"""),"Imagine living in a world where there’s no laws and everything is legal. Now imagine you sign up for an online counseling program to help you and your spouse create a world of extreme perversion, right in your own home.")</f>
        <v>Imagine living in a world where there’s no laws and everything is legal. Now imagine you sign up for an online counseling program to help you and your spouse create a world of extreme perversion, right in your own home.</v>
      </c>
      <c r="E91" s="27" t="str">
        <f>IFERROR(__xludf.DUMMYFUNCTION("""COMPUTED_VALUE"""),"therapist, incest, encouragement, noncon, lingerie, sex toys, cum sluts, watersports, choking, anal, ass to mouth, porn encouragement, background music, pervert encouragement")</f>
        <v>therapist, incest, encouragement, noncon, lingerie, sex toys, cum sluts, watersports, choking, anal, ass to mouth, porn encouragement, background music, pervert encouragement</v>
      </c>
    </row>
    <row r="92">
      <c r="A92" s="52">
        <f>IFERROR(__xludf.DUMMYFUNCTION("""COMPUTED_VALUE"""),297.0)</f>
        <v>297</v>
      </c>
      <c r="B92" s="51">
        <f>IFERROR(__xludf.DUMMYFUNCTION("""COMPUTED_VALUE"""),45042.0)</f>
        <v>45042</v>
      </c>
      <c r="C92" s="27" t="str">
        <f>IFERROR(__xludf.DUMMYFUNCTION("""COMPUTED_VALUE"""),"Silent Call: Pool Slut")</f>
        <v>Silent Call: Pool Slut</v>
      </c>
      <c r="D92" s="27" t="str">
        <f>IFERROR(__xludf.DUMMYFUNCTION("""COMPUTED_VALUE"""),"Voice in your head, encouraging you to go into the changing room and enjoy the girl you’ve been watching all day at the pool")</f>
        <v>Voice in your head, encouraging you to go into the changing room and enjoy the girl you’ve been watching all day at the pool</v>
      </c>
      <c r="E92" s="27" t="str">
        <f>IFERROR(__xludf.DUMMYFUNCTION("""COMPUTED_VALUE"""),"bathing suit, noncon, perv encouragement, creampie, pervert encouragement")</f>
        <v>bathing suit, noncon, perv encouragement, creampie, pervert encouragement</v>
      </c>
    </row>
    <row r="93">
      <c r="A93" s="52">
        <f>IFERROR(__xludf.DUMMYFUNCTION("""COMPUTED_VALUE"""),302.0)</f>
        <v>302</v>
      </c>
      <c r="B93" s="51">
        <f>IFERROR(__xludf.DUMMYFUNCTION("""COMPUTED_VALUE"""),45048.0)</f>
        <v>45048</v>
      </c>
      <c r="C93" s="27" t="str">
        <f>IFERROR(__xludf.DUMMYFUNCTION("""COMPUTED_VALUE"""),"PSO Perv Humiliation &amp; Encouragement")</f>
        <v>PSO Perv Humiliation &amp; Encouragement</v>
      </c>
      <c r="D93" s="27" t="str">
        <f>IFERROR(__xludf.DUMMYFUNCTION("""COMPUTED_VALUE"""),"You call me up for the first time and I know immediately what you need: a dose of humiliation and encouragement for your perverted desires. ")</f>
        <v>You call me up for the first time and I know immediately what you need: a dose of humiliation and encouragement for your perverted desires. </v>
      </c>
      <c r="E93" s="27" t="str">
        <f>IFERROR(__xludf.DUMMYFUNCTION("""COMPUTED_VALUE"""),"phone sex operator, trigger words, noncon, goon, cum countdown, pervert encouragement, humiliation")</f>
        <v>phone sex operator, trigger words, noncon, goon, cum countdown, pervert encouragement, humiliation</v>
      </c>
    </row>
    <row r="94">
      <c r="A94" s="52">
        <f>IFERROR(__xludf.DUMMYFUNCTION("""COMPUTED_VALUE"""),308.0)</f>
        <v>308</v>
      </c>
      <c r="B94" s="51">
        <f>IFERROR(__xludf.DUMMYFUNCTION("""COMPUTED_VALUE"""),45061.0)</f>
        <v>45061</v>
      </c>
      <c r="C94" s="27" t="str">
        <f>IFERROR(__xludf.DUMMYFUNCTION("""COMPUTED_VALUE"""),"Custom: A Porn Mom’s Interview")</f>
        <v>Custom: A Porn Mom’s Interview</v>
      </c>
      <c r="D94" s="27" t="str">
        <f>IFERROR(__xludf.DUMMYFUNCTION("""COMPUTED_VALUE"""),"I role-play as a mother who got her daughter into porn and what lead us to the final, pinnacle porn scene of her life.  ")</f>
        <v>I role-play as a mother who got her daughter into porn and what lead us to the final, pinnacle porn scene of her life.  </v>
      </c>
      <c r="E94" s="27" t="str">
        <f>IFERROR(__xludf.DUMMYFUNCTION("""COMPUTED_VALUE"""),"photo shoots, slut training, bbc gangbang, bukkake, beast, cnc, bondage, snuff, extreme use, viagra, monster cocks, pervert encouragement")</f>
        <v>photo shoots, slut training, bbc gangbang, bukkake, beast, cnc, bondage, snuff, extreme use, viagra, monster cocks, pervert encouragement</v>
      </c>
    </row>
    <row r="95">
      <c r="A95" s="52">
        <f>IFERROR(__xludf.DUMMYFUNCTION("""COMPUTED_VALUE"""),313.0)</f>
        <v>313</v>
      </c>
      <c r="B95" s="51">
        <f>IFERROR(__xludf.DUMMYFUNCTION("""COMPUTED_VALUE"""),45068.0)</f>
        <v>45068</v>
      </c>
      <c r="C95" s="27" t="str">
        <f>IFERROR(__xludf.DUMMYFUNCTION("""COMPUTED_VALUE"""),"Custom: Pervert Fleshlight JOI")</f>
        <v>Custom: Pervert Fleshlight JOI</v>
      </c>
      <c r="D95" s="27" t="str">
        <f>IFERROR(__xludf.DUMMYFUNCTION("""COMPUTED_VALUE"""),"An extreme and pervy JOI intended to be used with a fleshlight masturbation toy. ")</f>
        <v>An extreme and pervy JOI intended to be used with a fleshlight masturbation toy. </v>
      </c>
      <c r="E95" s="27" t="str">
        <f>IFERROR(__xludf.DUMMYFUNCTION("""COMPUTED_VALUE"""),"encouragement, male masturbation, cum countdown, noncon, pervert encouragement")</f>
        <v>encouragement, male masturbation, cum countdown, noncon, pervert encouragement</v>
      </c>
    </row>
    <row r="96">
      <c r="A96" s="52">
        <f>IFERROR(__xludf.DUMMYFUNCTION("""COMPUTED_VALUE"""),315.0)</f>
        <v>315</v>
      </c>
      <c r="B96" s="51">
        <f>IFERROR(__xludf.DUMMYFUNCTION("""COMPUTED_VALUE"""),45071.0)</f>
        <v>45071</v>
      </c>
      <c r="C96" s="27" t="str">
        <f>IFERROR(__xludf.DUMMYFUNCTION("""COMPUTED_VALUE"""),"Silent Call: Seductive Accomplice")</f>
        <v>Silent Call: Seductive Accomplice</v>
      </c>
      <c r="D96" s="27" t="str">
        <f>IFERROR(__xludf.DUMMYFUNCTION("""COMPUTED_VALUE"""),"Anything can happen in our imaginations. Let me guide you through your true desires")</f>
        <v>Anything can happen in our imaginations. Let me guide you through your true desires</v>
      </c>
      <c r="E96" s="27" t="str">
        <f>IFERROR(__xludf.DUMMYFUNCTION("""COMPUTED_VALUE"""),"accomplice, noncon, unconscious, pussy only, pervert encouragement")</f>
        <v>accomplice, noncon, unconscious, pussy only, pervert encouragement</v>
      </c>
    </row>
    <row r="97">
      <c r="A97" s="52">
        <f>IFERROR(__xludf.DUMMYFUNCTION("""COMPUTED_VALUE"""),320.0)</f>
        <v>320</v>
      </c>
      <c r="B97" s="51">
        <f>IFERROR(__xludf.DUMMYFUNCTION("""COMPUTED_VALUE"""),45084.0)</f>
        <v>45084</v>
      </c>
      <c r="C97" s="27" t="str">
        <f>IFERROR(__xludf.DUMMYFUNCTION("""COMPUTED_VALUE"""),"Custom: Cock Pumping Championship")</f>
        <v>Custom: Cock Pumping Championship</v>
      </c>
      <c r="D97" s="27" t="str">
        <f>IFERROR(__xludf.DUMMYFUNCTION("""COMPUTED_VALUE"""),"It’s the annual perv cock pumping championship where the biggest pervs compete to see who can out pump all the others while the wildest filth is played out before them. ")</f>
        <v>It’s the annual perv cock pumping championship where the biggest pervs compete to see who can out pump all the others while the wildest filth is played out before them. </v>
      </c>
      <c r="E97" s="27" t="str">
        <f>IFERROR(__xludf.DUMMYFUNCTION("""COMPUTED_VALUE"""),"perv JOI, male masturbation, gooning, pornstars, striptease, fisting, gangbang, extreme, edging, pervert encouragement")</f>
        <v>perv JOI, male masturbation, gooning, pornstars, striptease, fisting, gangbang, extreme, edging, pervert encouragement</v>
      </c>
    </row>
    <row r="98">
      <c r="A98" s="52">
        <f>IFERROR(__xludf.DUMMYFUNCTION("""COMPUTED_VALUE"""),329.0)</f>
        <v>329</v>
      </c>
      <c r="B98" s="51">
        <f>IFERROR(__xludf.DUMMYFUNCTION("""COMPUTED_VALUE"""),45096.0)</f>
        <v>45096</v>
      </c>
      <c r="C98" s="27" t="str">
        <f>IFERROR(__xludf.DUMMYFUNCTION("""COMPUTED_VALUE"""),"ilent Call: Your Perv Dealer")</f>
        <v>ilent Call: Your Perv Dealer</v>
      </c>
      <c r="D98" s="27" t="str">
        <f>IFERROR(__xludf.DUMMYFUNCTION("""COMPUTED_VALUE"""),"Your favorite accomplice is back for more. ")</f>
        <v>Your favorite accomplice is back for more. </v>
      </c>
      <c r="E98" s="27" t="str">
        <f>IFERROR(__xludf.DUMMYFUNCTION("""COMPUTED_VALUE"""),"accomplice, unconscious, noncon, pussy only, pervert encouragement")</f>
        <v>accomplice, unconscious, noncon, pussy only, pervert encouragement</v>
      </c>
    </row>
    <row r="99">
      <c r="A99" s="52">
        <f>IFERROR(__xludf.DUMMYFUNCTION("""COMPUTED_VALUE"""),332.0)</f>
        <v>332</v>
      </c>
      <c r="B99" s="51">
        <f>IFERROR(__xludf.DUMMYFUNCTION("""COMPUTED_VALUE"""),45102.0)</f>
        <v>45102</v>
      </c>
      <c r="C99" s="27" t="str">
        <f>IFERROR(__xludf.DUMMYFUNCTION("""COMPUTED_VALUE"""),"Custom: Mommy’s Hypnotherapy Part 2")</f>
        <v>Custom: Mommy’s Hypnotherapy Part 2</v>
      </c>
      <c r="D99" s="27" t="str">
        <f>IFERROR(__xludf.DUMMYFUNCTION("""COMPUTED_VALUE"""),"I’m a therapist who knows about the extreme perversions inside of your head. Instead of dispelling them, I decide to do a special kind of hypnotherapy")</f>
        <v>I’m a therapist who knows about the extreme perversions inside of your head. Instead of dispelling them, I decide to do a special kind of hypnotherapy</v>
      </c>
      <c r="E99" s="27" t="str">
        <f>IFERROR(__xludf.DUMMYFUNCTION("""COMPUTED_VALUE"""),"hypno, binaural, asmr, sfx, mom/son, perv encouragement, accomplice, brief incest mention, noncon, three orgasms/one cum countdown, face use, creampies")</f>
        <v>hypno, binaural, asmr, sfx, mom/son, perv encouragement, accomplice, brief incest mention, noncon, three orgasms/one cum countdown, face use, creampies</v>
      </c>
    </row>
    <row r="100">
      <c r="A100" s="52">
        <f>IFERROR(__xludf.DUMMYFUNCTION("""COMPUTED_VALUE"""),340.0)</f>
        <v>340</v>
      </c>
      <c r="B100" s="51">
        <f>IFERROR(__xludf.DUMMYFUNCTION("""COMPUTED_VALUE"""),45109.0)</f>
        <v>45109</v>
      </c>
      <c r="C100" s="27" t="str">
        <f>IFERROR(__xludf.DUMMYFUNCTION("""COMPUTED_VALUE"""),"Silent Call: Accomplice Trance")</f>
        <v>Silent Call: Accomplice Trance</v>
      </c>
      <c r="D100" s="27" t="str">
        <f>IFERROR(__xludf.DUMMYFUNCTION("""COMPUTED_VALUE"""),"You’re in some alternate realm where I can make anything happen. You start tied down and blindfolded while I make helpers appear on your lap, sending you deeper down into bliss and perverted ecstasy.")</f>
        <v>You’re in some alternate realm where I can make anything happen. You start tied down and blindfolded while I make helpers appear on your lap, sending you deeper down into bliss and perverted ecstasy.</v>
      </c>
      <c r="E100" s="27" t="str">
        <f>IFERROR(__xludf.DUMMYFUNCTION("""COMPUTED_VALUE"""),"accomplice, corruption, noncon, trance, pervert encouragement")</f>
        <v>accomplice, corruption, noncon, trance, pervert encouragement</v>
      </c>
    </row>
    <row r="101">
      <c r="A101" s="52">
        <f>IFERROR(__xludf.DUMMYFUNCTION("""COMPUTED_VALUE"""),350.0)</f>
        <v>350</v>
      </c>
      <c r="B101" s="51">
        <f>IFERROR(__xludf.DUMMYFUNCTION("""COMPUTED_VALUE"""),45113.0)</f>
        <v>45113</v>
      </c>
      <c r="C101" s="27" t="str">
        <f>IFERROR(__xludf.DUMMYFUNCTION("""COMPUTED_VALUE"""),"Silent Call: Inner Voice Corruption")</f>
        <v>Silent Call: Inner Voice Corruption</v>
      </c>
      <c r="D101" s="27" t="str">
        <f>IFERROR(__xludf.DUMMYFUNCTION("""COMPUTED_VALUE"""),"I’m the corruptive inner voice in your head, nudging you along. ")</f>
        <v>I’m the corruptive inner voice in your head, nudging you along. </v>
      </c>
      <c r="E101" s="27" t="str">
        <f>IFERROR(__xludf.DUMMYFUNCTION("""COMPUTED_VALUE"""),"pervert encouragement, slow, seductive, corruption")</f>
        <v>pervert encouragement, slow, seductive, corruption</v>
      </c>
    </row>
    <row r="102">
      <c r="A102" s="52">
        <f>IFERROR(__xludf.DUMMYFUNCTION("""COMPUTED_VALUE"""),362.0)</f>
        <v>362</v>
      </c>
      <c r="B102" s="51">
        <f>IFERROR(__xludf.DUMMYFUNCTION("""COMPUTED_VALUE"""),45131.0)</f>
        <v>45131</v>
      </c>
      <c r="C102" s="27" t="str">
        <f>IFERROR(__xludf.DUMMYFUNCTION("""COMPUTED_VALUE"""),"Silent Call: Accomplice Visualizations")</f>
        <v>Silent Call: Accomplice Visualizations</v>
      </c>
      <c r="D102" s="27" t="str">
        <f>IFERROR(__xludf.DUMMYFUNCTION("""COMPUTED_VALUE"""),"You’re back again, aren’t you? Let your favorite accomplice paint the most delicious and forbidden pictures for you in your mind.")</f>
        <v>You’re back again, aren’t you? Let your favorite accomplice paint the most delicious and forbidden pictures for you in your mind.</v>
      </c>
      <c r="E102" s="27" t="str">
        <f>IFERROR(__xludf.DUMMYFUNCTION("""COMPUTED_VALUE"""),"accomplice, pervert encouragement, slow &amp; seductive")</f>
        <v>accomplice, pervert encouragement, slow &amp; seductive</v>
      </c>
    </row>
    <row r="103">
      <c r="A103" s="52">
        <f>IFERROR(__xludf.DUMMYFUNCTION("""COMPUTED_VALUE"""),385.0)</f>
        <v>385</v>
      </c>
      <c r="B103" s="51">
        <f>IFERROR(__xludf.DUMMYFUNCTION("""COMPUTED_VALUE"""),45166.0)</f>
        <v>45166</v>
      </c>
      <c r="C103" s="27" t="str">
        <f>IFERROR(__xludf.DUMMYFUNCTION("""COMPUTED_VALUE"""),"Improv: Mommy Lover Encouragement")</f>
        <v>Improv: Mommy Lover Encouragement</v>
      </c>
      <c r="D103" s="27" t="str">
        <f>IFERROR(__xludf.DUMMYFUNCTION("""COMPUTED_VALUE"""),"So, you want to fuck your mother? Allow me to encourage you.")</f>
        <v>So, you want to fuck your mother? Allow me to encourage you.</v>
      </c>
      <c r="E103" s="27" t="str">
        <f>IFERROR(__xludf.DUMMYFUNCTION("""COMPUTED_VALUE"""),"incest, mommy/son, accomplice, noncon, encouragement")</f>
        <v>incest, mommy/son, accomplice, noncon, encouragement</v>
      </c>
    </row>
    <row r="104">
      <c r="A104" s="52">
        <f>IFERROR(__xludf.DUMMYFUNCTION("""COMPUTED_VALUE"""),392.0)</f>
        <v>392</v>
      </c>
      <c r="B104" s="51">
        <f>IFERROR(__xludf.DUMMYFUNCTION("""COMPUTED_VALUE"""),45177.0)</f>
        <v>45177</v>
      </c>
      <c r="C104" s="27" t="str">
        <f>IFERROR(__xludf.DUMMYFUNCTION("""COMPUTED_VALUE"""),"Improv: Anal Gooning")</f>
        <v>Improv: Anal Gooning</v>
      </c>
      <c r="D104" s="27" t="str">
        <f>IFERROR(__xludf.DUMMYFUNCTION("""COMPUTED_VALUE"""),"You’re my mindless gooner, I’m your Goddess. I encourage you to watch anal porn while listening to me encourage you and enhance your gooning.")</f>
        <v>You’re my mindless gooner, I’m your Goddess. I encourage you to watch anal porn while listening to me encourage you and enhance your gooning.</v>
      </c>
      <c r="E104" s="27" t="str">
        <f>IFERROR(__xludf.DUMMYFUNCTION("""COMPUTED_VALUE"""),"gooning, anal, porn encouragement, milfs &amp; daughters, edging, misogyny")</f>
        <v>gooning, anal, porn encouragement, milfs &amp; daughters, edging, misogyny</v>
      </c>
    </row>
    <row r="105">
      <c r="A105" s="52">
        <f>IFERROR(__xludf.DUMMYFUNCTION("""COMPUTED_VALUE"""),396.0)</f>
        <v>396</v>
      </c>
      <c r="B105" s="51">
        <f>IFERROR(__xludf.DUMMYFUNCTION("""COMPUTED_VALUE"""),45178.0)</f>
        <v>45178</v>
      </c>
      <c r="C105" s="27" t="str">
        <f>IFERROR(__xludf.DUMMYFUNCTION("""COMPUTED_VALUE"""),"Improv: Porn Addict Homewrecking")</f>
        <v>Improv: Porn Addict Homewrecking</v>
      </c>
      <c r="D105" s="27" t="str">
        <f>IFERROR(__xludf.DUMMYFUNCTION("""COMPUTED_VALUE"""),"I encourage you to replace your marriage with your porn addiction.")</f>
        <v>I encourage you to replace your marriage with your porn addiction.</v>
      </c>
      <c r="E105" s="27" t="str">
        <f>IFERROR(__xludf.DUMMYFUNCTION("""COMPUTED_VALUE"""),"femdom, porn encouragement, homewrecking, no ap")</f>
        <v>femdom, porn encouragement, homewrecking, no ap</v>
      </c>
    </row>
    <row r="106">
      <c r="A106" s="52">
        <f>IFERROR(__xludf.DUMMYFUNCTION("""COMPUTED_VALUE"""),409.0)</f>
        <v>409</v>
      </c>
      <c r="B106" s="51">
        <f>IFERROR(__xludf.DUMMYFUNCTION("""COMPUTED_VALUE"""),45198.0)</f>
        <v>45198</v>
      </c>
      <c r="C106" s="27" t="str">
        <f>IFERROR(__xludf.DUMMYFUNCTION("""COMPUTED_VALUE"""),"Improv: Knotty Husband")</f>
        <v>Improv: Knotty Husband</v>
      </c>
      <c r="D106" s="27" t="str">
        <f>IFERROR(__xludf.DUMMYFUNCTION("""COMPUTED_VALUE"""),"I’m your wife and we both know your cock curious. Why don’t we try out a “safe” cock we have at home with us.")</f>
        <v>I’m your wife and we both know your cock curious. Why don’t we try out a “safe” cock we have at home with us.</v>
      </c>
      <c r="E106" s="27" t="str">
        <f>IFERROR(__xludf.DUMMYFUNCTION("""COMPUTED_VALUE"""),"beast, bi encouragement, anal, rimming, no ap")</f>
        <v>beast, bi encouragement, anal, rimming, no ap</v>
      </c>
    </row>
    <row r="107">
      <c r="A107" s="52">
        <f>IFERROR(__xludf.DUMMYFUNCTION("""COMPUTED_VALUE"""),410.0)</f>
        <v>410</v>
      </c>
      <c r="B107" s="51">
        <f>IFERROR(__xludf.DUMMYFUNCTION("""COMPUTED_VALUE"""),45198.0)</f>
        <v>45198</v>
      </c>
      <c r="C107" s="27" t="str">
        <f>IFERROR(__xludf.DUMMYFUNCTION("""COMPUTED_VALUE"""),"Silent Call: Daddy’s Accomplice")</f>
        <v>Silent Call: Daddy’s Accomplice</v>
      </c>
      <c r="D107" s="27" t="str">
        <f>IFERROR(__xludf.DUMMYFUNCTION("""COMPUTED_VALUE"""),"Just a PSO getting a daddy off with filthy fantasies and hentai moaning in the background")</f>
        <v>Just a PSO getting a daddy off with filthy fantasies and hentai moaning in the background</v>
      </c>
      <c r="E107" s="27" t="str">
        <f>IFERROR(__xludf.DUMMYFUNCTION("""COMPUTED_VALUE"""),"accomplice, pervert encouragement, hentai moaning background")</f>
        <v>accomplice, pervert encouragement, hentai moaning background</v>
      </c>
    </row>
    <row r="108">
      <c r="A108" s="52">
        <f>IFERROR(__xludf.DUMMYFUNCTION("""COMPUTED_VALUE"""),411.0)</f>
        <v>411</v>
      </c>
      <c r="B108" s="51">
        <f>IFERROR(__xludf.DUMMYFUNCTION("""COMPUTED_VALUE"""),45198.0)</f>
        <v>45198</v>
      </c>
      <c r="C108" s="27" t="str">
        <f>IFERROR(__xludf.DUMMYFUNCTION("""COMPUTED_VALUE"""),"Seraphina’s Corruption Part 2")</f>
        <v>Seraphina’s Corruption Part 2</v>
      </c>
      <c r="D108" s="27" t="str">
        <f>IFERROR(__xludf.DUMMYFUNCTION("""COMPUTED_VALUE"""),"The listener’s guardian angel is back for more corruption and making him worse.")</f>
        <v>The listener’s guardian angel is back for more corruption and making him worse.</v>
      </c>
      <c r="E108" s="27" t="str">
        <f>IFERROR(__xludf.DUMMYFUNCTION("""COMPUTED_VALUE"""),"accomplice, pervert encouragement, hypnotic, blasphemy, satanic, sfx, higher pitched voice sfx, breeding")</f>
        <v>accomplice, pervert encouragement, hypnotic, blasphemy, satanic, sfx, higher pitched voice sfx, breeding</v>
      </c>
    </row>
    <row r="109">
      <c r="A109" s="52">
        <f>IFERROR(__xludf.DUMMYFUNCTION("""COMPUTED_VALUE"""),413.0)</f>
        <v>413</v>
      </c>
      <c r="B109" s="51">
        <f>IFERROR(__xludf.DUMMYFUNCTION("""COMPUTED_VALUE"""),45199.0)</f>
        <v>45199</v>
      </c>
      <c r="C109" s="27" t="str">
        <f>IFERROR(__xludf.DUMMYFUNCTION("""COMPUTED_VALUE"""),"Seductive Perv Encouragement")</f>
        <v>Seductive Perv Encouragement</v>
      </c>
      <c r="D109" s="27" t="str">
        <f>IFERROR(__xludf.DUMMYFUNCTION("""COMPUTED_VALUE"""),"A stream of consciousness, trigger happy file.")</f>
        <v>A stream of consciousness, trigger happy file.</v>
      </c>
      <c r="E109" s="27" t="str">
        <f>IFERROR(__xludf.DUMMYFUNCTION("""COMPUTED_VALUE"""),"pervert encouragement, triggers galore")</f>
        <v>pervert encouragement, triggers galore</v>
      </c>
    </row>
    <row r="110">
      <c r="A110" s="52">
        <f>IFERROR(__xludf.DUMMYFUNCTION("""COMPUTED_VALUE"""),417.0)</f>
        <v>417</v>
      </c>
      <c r="B110" s="51">
        <f>IFERROR(__xludf.DUMMYFUNCTION("""COMPUTED_VALUE"""),45204.0)</f>
        <v>45204</v>
      </c>
      <c r="C110" s="27" t="str">
        <f>IFERROR(__xludf.DUMMYFUNCTION("""COMPUTED_VALUE"""),"Silent Call: Humiliating Yet Encouraging Wife Experience")</f>
        <v>Silent Call: Humiliating Yet Encouraging Wife Experience</v>
      </c>
      <c r="D110" s="27" t="str">
        <f>IFERROR(__xludf.DUMMYFUNCTION("""COMPUTED_VALUE"""),"God, my husband is the filthiest pervert. I wish he’d fuck me like that.")</f>
        <v>God, my husband is the filthiest pervert. I wish he’d fuck me like that.</v>
      </c>
      <c r="E110" s="27" t="str">
        <f>IFERROR(__xludf.DUMMYFUNCTION("""COMPUTED_VALUE"""),"humiliation, pervert encouragement, noncon, accomplice")</f>
        <v>humiliation, pervert encouragement, noncon, accomplice</v>
      </c>
    </row>
    <row r="111">
      <c r="A111" s="52">
        <f>IFERROR(__xludf.DUMMYFUNCTION("""COMPUTED_VALUE"""),424.0)</f>
        <v>424</v>
      </c>
      <c r="B111" s="51">
        <f>IFERROR(__xludf.DUMMYFUNCTION("""COMPUTED_VALUE"""),45212.0)</f>
        <v>45212</v>
      </c>
      <c r="C111" s="27" t="str">
        <f>IFERROR(__xludf.DUMMYFUNCTION("""COMPUTED_VALUE"""),"Improv: Make Her a Mommy")</f>
        <v>Improv: Make Her a Mommy</v>
      </c>
      <c r="D111" s="27" t="str">
        <f>IFERROR(__xludf.DUMMYFUNCTION("""COMPUTED_VALUE"""),"A man lures a cutie into doing something she is not prepared for.")</f>
        <v>A man lures a cutie into doing something she is not prepared for.</v>
      </c>
      <c r="E111" s="27" t="str">
        <f>IFERROR(__xludf.DUMMYFUNCTION("""COMPUTED_VALUE"""),"pervert encouragement, breeding")</f>
        <v>pervert encouragement, breeding</v>
      </c>
    </row>
    <row r="112">
      <c r="A112" s="52">
        <f>IFERROR(__xludf.DUMMYFUNCTION("""COMPUTED_VALUE"""),430.0)</f>
        <v>430</v>
      </c>
      <c r="B112" s="51">
        <f>IFERROR(__xludf.DUMMYFUNCTION("""COMPUTED_VALUE"""),45221.0)</f>
        <v>45221</v>
      </c>
      <c r="C112" s="27" t="str">
        <f>IFERROR(__xludf.DUMMYFUNCTION("""COMPUTED_VALUE"""),"Improv: Porn Widow Reprogramming")</f>
        <v>Improv: Porn Widow Reprogramming</v>
      </c>
      <c r="D112" s="27" t="str">
        <f>IFERROR(__xludf.DUMMYFUNCTION("""COMPUTED_VALUE"""),"I am the oracle of porn. The audio is geared towards porn widows, but made for a man’s enjoyment. Instead of a wife crying over her husband’s porn worship and addiction, submit to porn and her husband.")</f>
        <v>I am the oracle of porn. The audio is geared towards porn widows, but made for a man’s enjoyment. Instead of a wife crying over her husband’s porn worship and addiction, submit to porn and her husband.</v>
      </c>
      <c r="E112" s="27" t="str">
        <f>IFERROR(__xludf.DUMMYFUNCTION("""COMPUTED_VALUE"""),"no ap, porn encouragement, homewrecking")</f>
        <v>no ap, porn encouragement, homewrecking</v>
      </c>
    </row>
    <row r="113">
      <c r="A113" s="52">
        <f>IFERROR(__xludf.DUMMYFUNCTION("""COMPUTED_VALUE"""),431.0)</f>
        <v>431</v>
      </c>
      <c r="B113" s="51">
        <f>IFERROR(__xludf.DUMMYFUNCTION("""COMPUTED_VALUE"""),45221.0)</f>
        <v>45221</v>
      </c>
      <c r="C113" s="27" t="str">
        <f>IFERROR(__xludf.DUMMYFUNCTION("""COMPUTED_VALUE"""),"AP Porn Widow Reprogramming")</f>
        <v>AP Porn Widow Reprogramming</v>
      </c>
      <c r="D113" s="27" t="str">
        <f>IFERROR(__xludf.DUMMYFUNCTION("""COMPUTED_VALUE"""),"I am the oracle of porn. The audio is geared towards porn widows, but made for a man’s enjoyment. Instead of a wife crying over her husband’s porn worship and addiction, submit to porn and her husband and be his naughty accomplice.")</f>
        <v>I am the oracle of porn. The audio is geared towards porn widows, but made for a man’s enjoyment. Instead of a wife crying over her husband’s porn worship and addiction, submit to porn and her husband and be his naughty accomplice.</v>
      </c>
      <c r="E113" s="27" t="str">
        <f>IFERROR(__xludf.DUMMYFUNCTION("""COMPUTED_VALUE"""),"porn encouragement, homewrecking, accomplice")</f>
        <v>porn encouragement, homewrecking, accomplice</v>
      </c>
    </row>
    <row r="114">
      <c r="A114" s="52">
        <f>IFERROR(__xludf.DUMMYFUNCTION("""COMPUTED_VALUE"""),447.0)</f>
        <v>447</v>
      </c>
      <c r="B114" s="51">
        <f>IFERROR(__xludf.DUMMYFUNCTION("""COMPUTED_VALUE"""),45232.0)</f>
        <v>45232</v>
      </c>
      <c r="C114" s="27" t="str">
        <f>IFERROR(__xludf.DUMMYFUNCTION("""COMPUTED_VALUE"""),"Improv: Southern Charm &amp; Corruption ")</f>
        <v>Improv: Southern Charm &amp; Corruption </v>
      </c>
      <c r="D114" s="27" t="str">
        <f>IFERROR(__xludf.DUMMYFUNCTION("""COMPUTED_VALUE"""),"I use a southern accent to portray a southern girl that loves to corrupt men. ")</f>
        <v>I use a southern accent to portray a southern girl that loves to corrupt men. </v>
      </c>
      <c r="E114" s="27" t="str">
        <f>IFERROR(__xludf.DUMMYFUNCTION("""COMPUTED_VALUE"""),"corruption, dad/daughter, watersports, pervert encouragement")</f>
        <v>corruption, dad/daughter, watersports, pervert encouragement</v>
      </c>
    </row>
    <row r="115">
      <c r="A115" s="52">
        <f>IFERROR(__xludf.DUMMYFUNCTION("""COMPUTED_VALUE"""),452.0)</f>
        <v>452</v>
      </c>
      <c r="B115" s="51">
        <f>IFERROR(__xludf.DUMMYFUNCTION("""COMPUTED_VALUE"""),45241.0)</f>
        <v>45241</v>
      </c>
      <c r="C115" s="27" t="str">
        <f>IFERROR(__xludf.DUMMYFUNCTION("""COMPUTED_VALUE"""),"Custom: Regressed Hookup")</f>
        <v>Custom: Regressed Hookup</v>
      </c>
      <c r="D115" s="27" t="str">
        <f>IFERROR(__xludf.DUMMYFUNCTION("""COMPUTED_VALUE"""),"The listener picks up a girl from a bar and ends up revealing what she really is. ")</f>
        <v>The listener picks up a girl from a bar and ends up revealing what she really is. </v>
      </c>
      <c r="E115" s="27" t="str">
        <f>IFERROR(__xludf.DUMMYFUNCTION("""COMPUTED_VALUE"""),"pervert encouragement, corruption, porn addict, accomplice")</f>
        <v>pervert encouragement, corruption, porn addict, accomplice</v>
      </c>
    </row>
    <row r="116">
      <c r="A116" s="52">
        <f>IFERROR(__xludf.DUMMYFUNCTION("""COMPUTED_VALUE"""),453.0)</f>
        <v>453</v>
      </c>
      <c r="B116" s="51">
        <f>IFERROR(__xludf.DUMMYFUNCTION("""COMPUTED_VALUE"""),45241.0)</f>
        <v>45241</v>
      </c>
      <c r="C116" s="27" t="str">
        <f>IFERROR(__xludf.DUMMYFUNCTION("""COMPUTED_VALUE"""),"Custom: Intoxicated Training")</f>
        <v>Custom: Intoxicated Training</v>
      </c>
      <c r="D116" s="27" t="str">
        <f>IFERROR(__xludf.DUMMYFUNCTION("""COMPUTED_VALUE"""),"I help you train good girls to be cum hungry sluts through a little Pavlov inspired intoxication")</f>
        <v>I help you train good girls to be cum hungry sluts through a little Pavlov inspired intoxication</v>
      </c>
      <c r="E116" s="27" t="str">
        <f>IFERROR(__xludf.DUMMYFUNCTION("""COMPUTED_VALUE"""),"pervert encouragement, accomplice, intoxication, cumslut")</f>
        <v>pervert encouragement, accomplice, intoxication, cumslut</v>
      </c>
    </row>
    <row r="117">
      <c r="A117" s="52">
        <f>IFERROR(__xludf.DUMMYFUNCTION("""COMPUTED_VALUE"""),455.0)</f>
        <v>455</v>
      </c>
      <c r="B117" s="51">
        <f>IFERROR(__xludf.DUMMYFUNCTION("""COMPUTED_VALUE"""),45244.0)</f>
        <v>45244</v>
      </c>
      <c r="C117" s="27" t="str">
        <f>IFERROR(__xludf.DUMMYFUNCTION("""COMPUTED_VALUE"""),"Custom: Mom Turns You Into a Perv Daddy")</f>
        <v>Custom: Mom Turns You Into a Perv Daddy</v>
      </c>
      <c r="D117" s="27" t="str">
        <f>IFERROR(__xludf.DUMMYFUNCTION("""COMPUTED_VALUE"""),"I’m your mom and I think we should have a baby so I can watch you become a naughty daddy. ")</f>
        <v>I’m your mom and I think we should have a baby so I can watch you become a naughty daddy. </v>
      </c>
      <c r="E117" s="27" t="str">
        <f>IFERROR(__xludf.DUMMYFUNCTION("""COMPUTED_VALUE"""),"MDlb, incest, pervert encouragement, oral sfx, breeding")</f>
        <v>MDlb, incest, pervert encouragement, oral sfx, breeding</v>
      </c>
    </row>
    <row r="118">
      <c r="A118" s="52">
        <f>IFERROR(__xludf.DUMMYFUNCTION("""COMPUTED_VALUE"""),460.0)</f>
        <v>460</v>
      </c>
      <c r="B118" s="51">
        <f>IFERROR(__xludf.DUMMYFUNCTION("""COMPUTED_VALUE"""),45247.0)</f>
        <v>45247</v>
      </c>
      <c r="C118" s="27" t="str">
        <f>IFERROR(__xludf.DUMMYFUNCTION("""COMPUTED_VALUE"""),"Silent Call: Mommy Accomplice Corruption")</f>
        <v>Silent Call: Mommy Accomplice Corruption</v>
      </c>
      <c r="D118" s="27" t="str">
        <f>IFERROR(__xludf.DUMMYFUNCTION("""COMPUTED_VALUE"""),"Your mom pulls out the pervert inside of you. ")</f>
        <v>Your mom pulls out the pervert inside of you. </v>
      </c>
      <c r="E118" s="27" t="str">
        <f>IFERROR(__xludf.DUMMYFUNCTION("""COMPUTED_VALUE"""),"incest, pervert encouragement, accomplice")</f>
        <v>incest, pervert encouragement, accomplice</v>
      </c>
    </row>
    <row r="119">
      <c r="A119" s="52">
        <f>IFERROR(__xludf.DUMMYFUNCTION("""COMPUTED_VALUE"""),480.0)</f>
        <v>480</v>
      </c>
      <c r="B119" s="51">
        <f>IFERROR(__xludf.DUMMYFUNCTION("""COMPUTED_VALUE"""),45644.0)</f>
        <v>45644</v>
      </c>
      <c r="C119" s="27" t="str">
        <f>IFERROR(__xludf.DUMMYFUNCTION("""COMPUTED_VALUE""")," Improv: A Nun’s Pervert Encouragement")</f>
        <v> Improv: A Nun’s Pervert Encouragement</v>
      </c>
      <c r="D119" s="27" t="str">
        <f>IFERROR(__xludf.DUMMYFUNCTION("""COMPUTED_VALUE"""),"The listener comes to me with an issue, but I end up encouraging his dark desires. ")</f>
        <v>The listener comes to me with an issue, but I end up encouraging his dark desires. </v>
      </c>
      <c r="E119" s="27" t="str">
        <f>IFERROR(__xludf.DUMMYFUNCTION("""COMPUTED_VALUE"""),"pervert encouragement, blasphemy, noncon, snuff")</f>
        <v>pervert encouragement, blasphemy, noncon, snuff</v>
      </c>
    </row>
    <row r="120">
      <c r="A120" s="52">
        <f>IFERROR(__xludf.DUMMYFUNCTION("""COMPUTED_VALUE"""),482.0)</f>
        <v>482</v>
      </c>
      <c r="B120" s="51">
        <f>IFERROR(__xludf.DUMMYFUNCTION("""COMPUTED_VALUE"""),45646.0)</f>
        <v>45646</v>
      </c>
      <c r="C120" s="27" t="str">
        <f>IFERROR(__xludf.DUMMYFUNCTION("""COMPUTED_VALUE"""),"Custom: Extreme Homewrecking Mistress")</f>
        <v>Custom: Extreme Homewrecking Mistress</v>
      </c>
      <c r="D120" s="27" t="str">
        <f>IFERROR(__xludf.DUMMYFUNCTION("""COMPUTED_VALUE"""),"I set up a day of extreme gooning session along with prostitutes in your home and wait for your wife to come home for even more depravity. ")</f>
        <v>I set up a day of extreme gooning session along with prostitutes in your home and wait for your wife to come home for even more depravity. </v>
      </c>
      <c r="E120" s="27" t="str">
        <f>IFERROR(__xludf.DUMMYFUNCTION("""COMPUTED_VALUE"""),"extreme homewrecking, goon/porn encouragement, snuff, necro
")</f>
        <v>extreme homewrecking, goon/porn encouragement, snuff, necro
</v>
      </c>
    </row>
    <row r="121">
      <c r="A121" s="52">
        <f>IFERROR(__xludf.DUMMYFUNCTION("""COMPUTED_VALUE"""),483.0)</f>
        <v>483</v>
      </c>
      <c r="B121" s="51">
        <f>IFERROR(__xludf.DUMMYFUNCTION("""COMPUTED_VALUE"""),45646.0)</f>
        <v>45646</v>
      </c>
      <c r="C121" s="27" t="str">
        <f>IFERROR(__xludf.DUMMYFUNCTION("""COMPUTED_VALUE"""),"Silent Call: Naughty Wife Accomplice")</f>
        <v>Silent Call: Naughty Wife Accomplice</v>
      </c>
      <c r="D121" s="27" t="str">
        <f>IFERROR(__xludf.DUMMYFUNCTION("""COMPUTED_VALUE"""),"I’m your wife and we’ve discovered we’re both perverts.")</f>
        <v>I’m your wife and we’ve discovered we’re both perverts.</v>
      </c>
      <c r="E121" s="27" t="str">
        <f>IFERROR(__xludf.DUMMYFUNCTION("""COMPUTED_VALUE"""),"pervert encouragement, accomplice, noncon")</f>
        <v>pervert encouragement, accomplice, noncon</v>
      </c>
    </row>
    <row r="122">
      <c r="A122" s="52">
        <f>IFERROR(__xludf.DUMMYFUNCTION("""COMPUTED_VALUE"""),488.0)</f>
        <v>488</v>
      </c>
      <c r="B122" s="51">
        <f>IFERROR(__xludf.DUMMYFUNCTION("""COMPUTED_VALUE"""),45650.0)</f>
        <v>45650</v>
      </c>
      <c r="C122" s="27" t="str">
        <f>IFERROR(__xludf.DUMMYFUNCTION("""COMPUTED_VALUE"""),"Improv: Perv Queen Succubus")</f>
        <v>Improv: Perv Queen Succubus</v>
      </c>
      <c r="D122" s="27" t="str">
        <f>IFERROR(__xludf.DUMMYFUNCTION("""COMPUTED_VALUE"""),"I come into your room one night and seduce you into a lifetime of depravity enslaved to me.")</f>
        <v>I come into your room one night and seduce you into a lifetime of depravity enslaved to me.</v>
      </c>
      <c r="E122" s="27" t="str">
        <f>IFERROR(__xludf.DUMMYFUNCTION("""COMPUTED_VALUE"""),"ASMR, pervert encouragement, snuff, noncon")</f>
        <v>ASMR, pervert encouragement, snuff, noncon</v>
      </c>
    </row>
    <row r="123">
      <c r="A123" s="52">
        <f>IFERROR(__xludf.DUMMYFUNCTION("""COMPUTED_VALUE"""),495.0)</f>
        <v>495</v>
      </c>
      <c r="B123" s="51">
        <f>IFERROR(__xludf.DUMMYFUNCTION("""COMPUTED_VALUE"""),45294.0)</f>
        <v>45294</v>
      </c>
      <c r="C123" s="27" t="str">
        <f>IFERROR(__xludf.DUMMYFUNCTION("""COMPUTED_VALUE"""),"Custom: PMC Conversion Therapy Intro")</f>
        <v>Custom: PMC Conversion Therapy Intro</v>
      </c>
      <c r="D123" s="27" t="str">
        <f>IFERROR(__xludf.DUMMYFUNCTION("""COMPUTED_VALUE"""),"In this version of the PMC, not only do we accept perverts, we help to brainwash and bring our clients closer to God. ")</f>
        <v>In this version of the PMC, not only do we accept perverts, we help to brainwash and bring our clients closer to God. </v>
      </c>
      <c r="E123" s="27" t="str">
        <f>IFERROR(__xludf.DUMMYFUNCTION("""COMPUTED_VALUE"""),"PMC, hypno, 3dio binaural mic, binaural, blasphemy, god is a woman, pervert encouragement, gooning")</f>
        <v>PMC, hypno, 3dio binaural mic, binaural, blasphemy, god is a woman, pervert encouragement, gooning</v>
      </c>
    </row>
    <row r="124">
      <c r="A124" s="52">
        <f>IFERROR(__xludf.DUMMYFUNCTION("""COMPUTED_VALUE"""),495.0)</f>
        <v>495</v>
      </c>
      <c r="B124" s="51">
        <f>IFERROR(__xludf.DUMMYFUNCTION("""COMPUTED_VALUE"""),45294.0)</f>
        <v>45294</v>
      </c>
      <c r="C124" s="27" t="str">
        <f>IFERROR(__xludf.DUMMYFUNCTION("""COMPUTED_VALUE"""),"Custom: PMC Conversion Therapy Loop")</f>
        <v>Custom: PMC Conversion Therapy Loop</v>
      </c>
      <c r="D124" s="27" t="str">
        <f>IFERROR(__xludf.DUMMYFUNCTION("""COMPUTED_VALUE"""),"In this version of the PMC, not only do we accept perverts, we help to brainwash and bring our clients closer to God. ")</f>
        <v>In this version of the PMC, not only do we accept perverts, we help to brainwash and bring our clients closer to God. </v>
      </c>
      <c r="E124" s="27" t="str">
        <f>IFERROR(__xludf.DUMMYFUNCTION("""COMPUTED_VALUE"""),"PMC, hypno, 3dio binaural mic, binaural, blasphemy, god is a woman, pervert encouragement, gooning")</f>
        <v>PMC, hypno, 3dio binaural mic, binaural, blasphemy, god is a woman, pervert encouragement, gooning</v>
      </c>
    </row>
    <row r="125">
      <c r="A125" s="52">
        <f>IFERROR(__xludf.DUMMYFUNCTION("""COMPUTED_VALUE"""),503.0)</f>
        <v>503</v>
      </c>
      <c r="B125" s="51">
        <f>IFERROR(__xludf.DUMMYFUNCTION("""COMPUTED_VALUE"""),45299.0)</f>
        <v>45299</v>
      </c>
      <c r="C125" s="27" t="str">
        <f>IFERROR(__xludf.DUMMYFUNCTION("""COMPUTED_VALUE"""),"Improv: Deeper Goon Hole")</f>
        <v>Improv: Deeper Goon Hole</v>
      </c>
      <c r="D125" s="27" t="str">
        <f>IFERROR(__xludf.DUMMYFUNCTION("""COMPUTED_VALUE"""),"ASMR, binaural trigger heavy file. ")</f>
        <v>ASMR, binaural trigger heavy file. </v>
      </c>
      <c r="E125" s="27" t="str">
        <f>IFERROR(__xludf.DUMMYFUNCTION("""COMPUTED_VALUE""")," noncon, pervert encouragement, snuff, 3dio, binaural mic, ASMR")</f>
        <v> noncon, pervert encouragement, snuff, 3dio, binaural mic, ASMR</v>
      </c>
    </row>
    <row r="126">
      <c r="A126" s="52">
        <f>IFERROR(__xludf.DUMMYFUNCTION("""COMPUTED_VALUE"""),506.0)</f>
        <v>506</v>
      </c>
      <c r="B126" s="51">
        <f>IFERROR(__xludf.DUMMYFUNCTION("""COMPUTED_VALUE"""),45301.0)</f>
        <v>45301</v>
      </c>
      <c r="C126" s="27" t="str">
        <f>IFERROR(__xludf.DUMMYFUNCTION("""COMPUTED_VALUE"""),"Silent Call: Mommy’s Pervert Encouragement")</f>
        <v>Silent Call: Mommy’s Pervert Encouragement</v>
      </c>
      <c r="D126" s="27" t="str">
        <f>IFERROR(__xludf.DUMMYFUNCTION("""COMPUTED_VALUE"""),"A confessional type of story about a mother who not only begins an incestuous love affair with her son, but also encourages his secret perv life.  ")</f>
        <v>A confessional type of story about a mother who not only begins an incestuous love affair with her son, but also encourages his secret perv life.  </v>
      </c>
      <c r="E126" s="27" t="str">
        <f>IFERROR(__xludf.DUMMYFUNCTION("""COMPUTED_VALUE"""),"MDlb, incest, pervert encouragement")</f>
        <v>MDlb, incest, pervert encouragement</v>
      </c>
    </row>
    <row r="127">
      <c r="A127" s="52">
        <f>IFERROR(__xludf.DUMMYFUNCTION("""COMPUTED_VALUE"""),507.0)</f>
        <v>507</v>
      </c>
      <c r="B127" s="51">
        <f>IFERROR(__xludf.DUMMYFUNCTION("""COMPUTED_VALUE"""),45302.0)</f>
        <v>45302</v>
      </c>
      <c r="C127" s="27" t="str">
        <f>IFERROR(__xludf.DUMMYFUNCTION("""COMPUTED_VALUE"""),"Improv: PMC Reboot Session")</f>
        <v>Improv: PMC Reboot Session</v>
      </c>
      <c r="D127" s="27" t="str">
        <f>IFERROR(__xludf.DUMMYFUNCTION("""COMPUTED_VALUE"""),"Patient is getting too comfortable in his current perv levels so I work to inspire more perversion inside his mind.  ")</f>
        <v>Patient is getting too comfortable in his current perv levels so I work to inspire more perversion inside his mind.  </v>
      </c>
      <c r="E127" s="27" t="str">
        <f>IFERROR(__xludf.DUMMYFUNCTION("""COMPUTED_VALUE"""),"3dio, binaural, hypnosis, pervert encouragement")</f>
        <v>3dio, binaural, hypnosis, pervert encouragement</v>
      </c>
    </row>
    <row r="128">
      <c r="A128" s="52">
        <f>IFERROR(__xludf.DUMMYFUNCTION("""COMPUTED_VALUE"""),511.0)</f>
        <v>511</v>
      </c>
      <c r="B128" s="51">
        <f>IFERROR(__xludf.DUMMYFUNCTION("""COMPUTED_VALUE"""),45308.0)</f>
        <v>45308</v>
      </c>
      <c r="C128" s="27" t="str">
        <f>IFERROR(__xludf.DUMMYFUNCTION("""COMPUTED_VALUE""")," Improv: Relapse Queen")</f>
        <v> Improv: Relapse Queen</v>
      </c>
      <c r="D128" s="27" t="str">
        <f>IFERROR(__xludf.DUMMYFUNCTION("""COMPUTED_VALUE"""),"I let you know why you’ll always relapse back into my voice and your perversions")</f>
        <v>I let you know why you’ll always relapse back into my voice and your perversions</v>
      </c>
      <c r="E128" s="27" t="str">
        <f>IFERROR(__xludf.DUMMYFUNCTION("""COMPUTED_VALUE"""),"binaural mic, 3dio, noncon, pervert encouragement")</f>
        <v>binaural mic, 3dio, noncon, pervert encouragement</v>
      </c>
    </row>
    <row r="129">
      <c r="A129" s="52">
        <f>IFERROR(__xludf.DUMMYFUNCTION("""COMPUTED_VALUE"""),512.0)</f>
        <v>512</v>
      </c>
      <c r="B129" s="51">
        <f>IFERROR(__xludf.DUMMYFUNCTION("""COMPUTED_VALUE"""),45309.0)</f>
        <v>45309</v>
      </c>
      <c r="C129" s="27" t="str">
        <f>IFERROR(__xludf.DUMMYFUNCTION("""COMPUTED_VALUE""")," Improv: Accomplice GF Anal JOI")</f>
        <v> Improv: Accomplice GF Anal JOI</v>
      </c>
      <c r="D129" s="27" t="str">
        <f>IFERROR(__xludf.DUMMYFUNCTION("""COMPUTED_VALUE"""),"You’re an ass man, even when it comes to smaller asses. ")</f>
        <v>You’re an ass man, even when it comes to smaller asses. </v>
      </c>
      <c r="E129" s="27" t="str">
        <f>IFERROR(__xludf.DUMMYFUNCTION("""COMPUTED_VALUE"""),"anal only, JOI, pervert encouragement")</f>
        <v>anal only, JOI, pervert encouragement</v>
      </c>
    </row>
    <row r="130">
      <c r="A130" s="52">
        <f>IFERROR(__xludf.DUMMYFUNCTION("""COMPUTED_VALUE"""),516.0)</f>
        <v>516</v>
      </c>
      <c r="B130" s="51">
        <f>IFERROR(__xludf.DUMMYFUNCTION("""COMPUTED_VALUE"""),45317.0)</f>
        <v>45317</v>
      </c>
      <c r="C130" s="27" t="str">
        <f>IFERROR(__xludf.DUMMYFUNCTION("""COMPUTED_VALUE""")," Silent Call: Perverted Teacher Experience")</f>
        <v> Silent Call: Perverted Teacher Experience</v>
      </c>
      <c r="D130" s="27" t="str">
        <f>IFERROR(__xludf.DUMMYFUNCTION("""COMPUTED_VALUE""")," You’re dating me, a teacher, and I bring out the perverted side of you. ")</f>
        <v> You’re dating me, a teacher, and I bring out the perverted side of you. </v>
      </c>
      <c r="E130" s="27" t="str">
        <f>IFERROR(__xludf.DUMMYFUNCTION("""COMPUTED_VALUE"""),"accomplice, DDlg, pervert encouragement")</f>
        <v>accomplice, DDlg, pervert encouragement</v>
      </c>
    </row>
    <row r="131">
      <c r="A131" s="52">
        <f>IFERROR(__xludf.DUMMYFUNCTION("""COMPUTED_VALUE"""),518.0)</f>
        <v>518</v>
      </c>
      <c r="B131" s="51">
        <f>IFERROR(__xludf.DUMMYFUNCTION("""COMPUTED_VALUE"""),45319.0)</f>
        <v>45319</v>
      </c>
      <c r="C131" s="27" t="str">
        <f>IFERROR(__xludf.DUMMYFUNCTION("""COMPUTED_VALUE"""),"Improv: Mommy’s Love &amp; Corruption")</f>
        <v>Improv: Mommy’s Love &amp; Corruption</v>
      </c>
      <c r="D131" s="27" t="str">
        <f>IFERROR(__xludf.DUMMYFUNCTION("""COMPUTED_VALUE"""),"A loving mother talks to her son about how she’s lovingly corrupted him to always get what is deserved. ")</f>
        <v>A loving mother talks to her son about how she’s lovingly corrupted him to always get what is deserved. </v>
      </c>
      <c r="E131" s="27" t="str">
        <f>IFERROR(__xludf.DUMMYFUNCTION("""COMPUTED_VALUE"""),"MDlb, corruption, pervert encouragement, anal")</f>
        <v>MDlb, corruption, pervert encouragement, anal</v>
      </c>
    </row>
    <row r="132">
      <c r="A132" s="52">
        <f>IFERROR(__xludf.DUMMYFUNCTION("""COMPUTED_VALUE"""),519.0)</f>
        <v>519</v>
      </c>
      <c r="B132" s="51">
        <f>IFERROR(__xludf.DUMMYFUNCTION("""COMPUTED_VALUE"""),45320.0)</f>
        <v>45320</v>
      </c>
      <c r="C132" s="27" t="str">
        <f>IFERROR(__xludf.DUMMYFUNCTION("""COMPUTED_VALUE"""),"Improv: DDlg Pervert Sympathy")</f>
        <v>Improv: DDlg Pervert Sympathy</v>
      </c>
      <c r="D132" s="27" t="str">
        <f>IFERROR(__xludf.DUMMYFUNCTION("""COMPUTED_VALUE"""),"Another pervert affirmation file with added visualizations ")</f>
        <v>Another pervert affirmation file with added visualizations </v>
      </c>
      <c r="E132" s="27" t="str">
        <f>IFERROR(__xludf.DUMMYFUNCTION("""COMPUTED_VALUE"""),"DDlg, pervert encouragement, incest")</f>
        <v>DDlg, pervert encouragement, incest</v>
      </c>
    </row>
    <row r="133">
      <c r="A133" s="52">
        <f>IFERROR(__xludf.DUMMYFUNCTION("""COMPUTED_VALUE"""),520.0)</f>
        <v>520</v>
      </c>
      <c r="B133" s="51">
        <f>IFERROR(__xludf.DUMMYFUNCTION("""COMPUTED_VALUE"""),45324.0)</f>
        <v>45324</v>
      </c>
      <c r="C133" s="27" t="str">
        <f>IFERROR(__xludf.DUMMYFUNCTION("""COMPUTED_VALUE"""),"Improv: Daddy &amp; Accomplice Princess Party")</f>
        <v>Improv: Daddy &amp; Accomplice Princess Party</v>
      </c>
      <c r="D133" s="27" t="str">
        <f>IFERROR(__xludf.DUMMYFUNCTION("""COMPUTED_VALUE"""),"I am your accomplice and we’re having a night of debauchery with my horny encouragement. ")</f>
        <v>I am your accomplice and we’re having a night of debauchery with my horny encouragement. </v>
      </c>
      <c r="E133" s="27" t="str">
        <f>IFERROR(__xludf.DUMMYFUNCTION("""COMPUTED_VALUE"""),"DDlg, pervert encouragement, noncon, panties, strap on tag team")</f>
        <v>DDlg, pervert encouragement, noncon, panties, strap on tag team</v>
      </c>
    </row>
    <row r="134">
      <c r="A134" s="52">
        <f>IFERROR(__xludf.DUMMYFUNCTION("""COMPUTED_VALUE"""),521.0)</f>
        <v>521</v>
      </c>
      <c r="B134" s="51">
        <f>IFERROR(__xludf.DUMMYFUNCTION("""COMPUTED_VALUE"""),45324.0)</f>
        <v>45324</v>
      </c>
      <c r="C134" s="27" t="str">
        <f>IFERROR(__xludf.DUMMYFUNCTION("""COMPUTED_VALUE"""),"Improv: Car Ride Accomplice")</f>
        <v>Improv: Car Ride Accomplice</v>
      </c>
      <c r="D134" s="27" t="str">
        <f>IFERROR(__xludf.DUMMYFUNCTION("""COMPUTED_VALUE"""),"We’re in the back of a car with my little cousin and I encourage the most depraved activities. ")</f>
        <v>We’re in the back of a car with my little cousin and I encourage the most depraved activities. </v>
      </c>
      <c r="E134" s="27" t="str">
        <f>IFERROR(__xludf.DUMMYFUNCTION("""COMPUTED_VALUE"""),"accomplice, 3dio binaural mic, pervert encouragement, cum countdown w/surprise denial")</f>
        <v>accomplice, 3dio binaural mic, pervert encouragement, cum countdown w/surprise denial</v>
      </c>
    </row>
    <row r="135">
      <c r="A135" s="52">
        <f>IFERROR(__xludf.DUMMYFUNCTION("""COMPUTED_VALUE"""),531.0)</f>
        <v>531</v>
      </c>
      <c r="B135" s="51">
        <f>IFERROR(__xludf.DUMMYFUNCTION("""COMPUTED_VALUE"""),45340.0)</f>
        <v>45340</v>
      </c>
      <c r="C135" s="27" t="str">
        <f>IFERROR(__xludf.DUMMYFUNCTION("""COMPUTED_VALUE"""),"Improv: Mommy’s Perv Rehab")</f>
        <v>Improv: Mommy’s Perv Rehab</v>
      </c>
      <c r="D135" s="27" t="str">
        <f>IFERROR(__xludf.DUMMYFUNCTION("""COMPUTED_VALUE"""),"I role-play as your mother who helps you deal with your taboo perversions. ")</f>
        <v>I role-play as your mother who helps you deal with your taboo perversions. </v>
      </c>
      <c r="E135" s="27" t="str">
        <f>IFERROR(__xludf.DUMMYFUNCTION("""COMPUTED_VALUE"""),"MDlb, pervert encouragement, incest")</f>
        <v>MDlb, pervert encouragement, incest</v>
      </c>
    </row>
    <row r="136">
      <c r="A136" s="52">
        <f>IFERROR(__xludf.DUMMYFUNCTION("""COMPUTED_VALUE"""),532.0)</f>
        <v>532</v>
      </c>
      <c r="B136" s="51">
        <f>IFERROR(__xludf.DUMMYFUNCTION("""COMPUTED_VALUE"""),45340.0)</f>
        <v>45340</v>
      </c>
      <c r="C136" s="27" t="str">
        <f>IFERROR(__xludf.DUMMYFUNCTION("""COMPUTED_VALUE"""),"Improv: Dirty Talking Teen")</f>
        <v>Improv: Dirty Talking Teen</v>
      </c>
      <c r="D136" s="27" t="str">
        <f>IFERROR(__xludf.DUMMYFUNCTION("""COMPUTED_VALUE"""),"I role-play as a 19 year old that stays the night with you and ends up dirty talking with you about a younger version of myself. ")</f>
        <v>I role-play as a 19 year old that stays the night with you and ends up dirty talking with you about a younger version of myself. </v>
      </c>
      <c r="E136" s="27" t="str">
        <f>IFERROR(__xludf.DUMMYFUNCTION("""COMPUTED_VALUE"""),"pervert encouragement, ap dirty talk, sensual")</f>
        <v>pervert encouragement, ap dirty talk, sensual</v>
      </c>
    </row>
    <row r="137">
      <c r="A137" s="52">
        <f>IFERROR(__xludf.DUMMYFUNCTION("""COMPUTED_VALUE"""),534.0)</f>
        <v>534</v>
      </c>
      <c r="B137" s="51">
        <f>IFERROR(__xludf.DUMMYFUNCTION("""COMPUTED_VALUE"""),45346.0)</f>
        <v>45346</v>
      </c>
      <c r="C137" s="27" t="str">
        <f>IFERROR(__xludf.DUMMYFUNCTION("""COMPUTED_VALUE"""),"Improv: Goddess Mom Daughter Session")</f>
        <v>Improv: Goddess Mom Daughter Session</v>
      </c>
      <c r="D137" s="27" t="str">
        <f>IFERROR(__xludf.DUMMYFUNCTION("""COMPUTED_VALUE"""),"Dr. B hypnotizes her patient to prove to him that I not only can make the most taboo appear real, but I am his true Goddess of perversion. ")</f>
        <v>Dr. B hypnotizes her patient to prove to him that I not only can make the most taboo appear real, but I am his true Goddess of perversion. </v>
      </c>
      <c r="E137" s="27" t="str">
        <f>IFERROR(__xludf.DUMMYFUNCTION("""COMPUTED_VALUE"""),"hypnosis, pervert encouragement, forced incest, breeding, noncon")</f>
        <v>hypnosis, pervert encouragement, forced incest, breeding, noncon</v>
      </c>
    </row>
    <row r="138">
      <c r="A138" s="52">
        <f>IFERROR(__xludf.DUMMYFUNCTION("""COMPUTED_VALUE"""),545.0)</f>
        <v>545</v>
      </c>
      <c r="B138" s="51">
        <f>IFERROR(__xludf.DUMMYFUNCTION("""COMPUTED_VALUE"""),45359.0)</f>
        <v>45359</v>
      </c>
      <c r="C138" s="27" t="str">
        <f>IFERROR(__xludf.DUMMYFUNCTION("""COMPUTED_VALUE"""),"Improv: Perv Goon Bliss")</f>
        <v>Improv: Perv Goon Bliss</v>
      </c>
      <c r="D138" s="27" t="str">
        <f>IFERROR(__xludf.DUMMYFUNCTION("""COMPUTED_VALUE"""),"Trigger heavy perv goon bliss. ")</f>
        <v>Trigger heavy perv goon bliss. </v>
      </c>
      <c r="E138" s="27" t="str">
        <f>IFERROR(__xludf.DUMMYFUNCTION("""COMPUTED_VALUE"""),"accomplice, pervert encouragement, noncon, snuff, necro")</f>
        <v>accomplice, pervert encouragement, noncon, snuff, necro</v>
      </c>
    </row>
    <row r="139">
      <c r="A139" s="52">
        <f>IFERROR(__xludf.DUMMYFUNCTION("""COMPUTED_VALUE"""),547.0)</f>
        <v>547</v>
      </c>
      <c r="B139" s="51">
        <f>IFERROR(__xludf.DUMMYFUNCTION("""COMPUTED_VALUE"""),45362.0)</f>
        <v>45362</v>
      </c>
      <c r="C139" s="27" t="str">
        <f>IFERROR(__xludf.DUMMYFUNCTION("""COMPUTED_VALUE"""),"Improv: Drunk Mommy Sex")</f>
        <v>Improv: Drunk Mommy Sex</v>
      </c>
      <c r="D139" s="27" t="str">
        <f>IFERROR(__xludf.DUMMYFUNCTION("""COMPUTED_VALUE"""),"Mom comes home drunk and cuddles with her son until he takes advantage of the situation. ")</f>
        <v>Mom comes home drunk and cuddles with her son until he takes advantage of the situation. </v>
      </c>
      <c r="E139" s="27" t="str">
        <f>IFERROR(__xludf.DUMMYFUNCTION("""COMPUTED_VALUE"""),"MDlb, incest, pervert encouragement")</f>
        <v>MDlb, incest, pervert encouragement</v>
      </c>
    </row>
    <row r="140">
      <c r="A140" s="52">
        <f>IFERROR(__xludf.DUMMYFUNCTION("""COMPUTED_VALUE"""),555.0)</f>
        <v>555</v>
      </c>
      <c r="B140" s="51">
        <f>IFERROR(__xludf.DUMMYFUNCTION("""COMPUTED_VALUE"""),45369.0)</f>
        <v>45369</v>
      </c>
      <c r="C140" s="27" t="str">
        <f>IFERROR(__xludf.DUMMYFUNCTION("""COMPUTED_VALUE"""),"Improv: Perv Queen Phone Call")</f>
        <v>Improv: Perv Queen Phone Call</v>
      </c>
      <c r="D140" s="27" t="str">
        <f>IFERROR(__xludf.DUMMYFUNCTION("""COMPUTED_VALUE"""),"You’re in jail and about to be released. Your perv queen accomplice calls to let you know what’s in store when you’re finally released with a perverted JOI. ")</f>
        <v>You’re in jail and about to be released. Your perv queen accomplice calls to let you know what’s in store when you’re finally released with a perverted JOI. </v>
      </c>
      <c r="E140" s="27" t="str">
        <f>IFERROR(__xludf.DUMMYFUNCTION("""COMPUTED_VALUE"""),"accomplice, pervert encouragement, JOI, snuff, noncon, humiliation")</f>
        <v>accomplice, pervert encouragement, JOI, snuff, noncon, humiliation</v>
      </c>
    </row>
    <row r="141">
      <c r="A141" s="52">
        <f>IFERROR(__xludf.DUMMYFUNCTION("""COMPUTED_VALUE"""),557.0)</f>
        <v>557</v>
      </c>
      <c r="B141" s="51">
        <f>IFERROR(__xludf.DUMMYFUNCTION("""COMPUTED_VALUE"""),45369.0)</f>
        <v>45369</v>
      </c>
      <c r="C141" s="27" t="str">
        <f>IFERROR(__xludf.DUMMYFUNCTION("""COMPUTED_VALUE"""),"Script Fill: Extreme AP JOI")</f>
        <v>Script Fill: Extreme AP JOI</v>
      </c>
      <c r="D141" s="27" t="str">
        <f>IFERROR(__xludf.DUMMYFUNCTION("""COMPUTED_VALUE"""),"Edge for me until I countdown you down to a cum ending, full of trigger words. ")</f>
        <v>Edge for me until I countdown you down to a cum ending, full of trigger words. </v>
      </c>
      <c r="E141" s="27" t="str">
        <f>IFERROR(__xludf.DUMMYFUNCTION("""COMPUTED_VALUE"""),"gentle femdom, JOI, pervert encouragement, consensual, anal")</f>
        <v>gentle femdom, JOI, pervert encouragement, consensual, anal</v>
      </c>
    </row>
    <row r="142">
      <c r="A142" s="52">
        <f>IFERROR(__xludf.DUMMYFUNCTION("""COMPUTED_VALUE"""),561.0)</f>
        <v>561</v>
      </c>
      <c r="B142" s="51">
        <f>IFERROR(__xludf.DUMMYFUNCTION("""COMPUTED_VALUE"""),45371.0)</f>
        <v>45371</v>
      </c>
      <c r="C142" s="27" t="str">
        <f>IFERROR(__xludf.DUMMYFUNCTION("""COMPUTED_VALUE"""),"Improv: Fresh New Fuck Meat")</f>
        <v>Improv: Fresh New Fuck Meat</v>
      </c>
      <c r="D142" s="27" t="str">
        <f>IFERROR(__xludf.DUMMYFUNCTION("""COMPUTED_VALUE"""),"Simple encouragement to fuck brand new fuck meat.")</f>
        <v>Simple encouragement to fuck brand new fuck meat.</v>
      </c>
      <c r="E142" s="27" t="str">
        <f>IFERROR(__xludf.DUMMYFUNCTION("""COMPUTED_VALUE"""),"extreme ap, snuff, pervert encouragement")</f>
        <v>extreme ap, snuff, pervert encouragement</v>
      </c>
    </row>
    <row r="143">
      <c r="A143" s="52">
        <f>IFERROR(__xludf.DUMMYFUNCTION("""COMPUTED_VALUE"""),562.0)</f>
        <v>562</v>
      </c>
      <c r="B143" s="51">
        <f>IFERROR(__xludf.DUMMYFUNCTION("""COMPUTED_VALUE"""),45372.0)</f>
        <v>45372</v>
      </c>
      <c r="C143" s="27" t="str">
        <f>IFERROR(__xludf.DUMMYFUNCTION("""COMPUTED_VALUE"""),"Improv: Family of the Year")</f>
        <v>Improv: Family of the Year</v>
      </c>
      <c r="D143" s="27" t="str">
        <f>IFERROR(__xludf.DUMMYFUNCTION("""COMPUTED_VALUE"""),"I’m the mother of a huge family and being interviewed while a family orgy is taking place. ")</f>
        <v>I’m the mother of a huge family and being interviewed while a family orgy is taking place. </v>
      </c>
      <c r="E143" s="27" t="str">
        <f>IFERROR(__xludf.DUMMYFUNCTION("""COMPUTED_VALUE"""),"incest, bi encouragement, intox, incest, DDlg, DDlb, MDlb, MDlg, siblings, fisting, double penetration")</f>
        <v>incest, bi encouragement, intox, incest, DDlg, DDlb, MDlb, MDlg, siblings, fisting, double penetration</v>
      </c>
    </row>
    <row r="144">
      <c r="A144" s="52">
        <f>IFERROR(__xludf.DUMMYFUNCTION("""COMPUTED_VALUE"""),563.0)</f>
        <v>563</v>
      </c>
      <c r="B144" s="51">
        <f>IFERROR(__xludf.DUMMYFUNCTION("""COMPUTED_VALUE"""),45372.0)</f>
        <v>45372</v>
      </c>
      <c r="C144" s="27" t="str">
        <f>IFERROR(__xludf.DUMMYFUNCTION("""COMPUTED_VALUE"""),"Improv: Mommy’s Porn Encouragement")</f>
        <v>Improv: Mommy’s Porn Encouragement</v>
      </c>
      <c r="D144" s="27" t="str">
        <f>IFERROR(__xludf.DUMMYFUNCTION("""COMPUTED_VALUE"""),"Your mom encourages you through pumping to your favorite porn and social media teases")</f>
        <v>Your mom encourages you through pumping to your favorite porn and social media teases</v>
      </c>
      <c r="E144" s="27" t="str">
        <f>IFERROR(__xludf.DUMMYFUNCTION("""COMPUTED_VALUE"""),"MDlb, pervert encouragement, anal")</f>
        <v>MDlb, pervert encouragement, anal</v>
      </c>
    </row>
    <row r="145">
      <c r="A145" s="52">
        <f>IFERROR(__xludf.DUMMYFUNCTION("""COMPUTED_VALUE"""),567.0)</f>
        <v>567</v>
      </c>
      <c r="B145" s="51">
        <f>IFERROR(__xludf.DUMMYFUNCTION("""COMPUTED_VALUE"""),45376.0)</f>
        <v>45376</v>
      </c>
      <c r="C145" s="27" t="str">
        <f>IFERROR(__xludf.DUMMYFUNCTION("""COMPUTED_VALUE"""),"Custom: Perv Gooning Company (lg)")</f>
        <v>Custom: Perv Gooning Company (lg)</v>
      </c>
      <c r="D145" s="27" t="str">
        <f>IFERROR(__xludf.DUMMYFUNCTION("""COMPUTED_VALUE"""),"A file to accompany you through deep perv gooning. ")</f>
        <v>A file to accompany you through deep perv gooning. </v>
      </c>
      <c r="E145" s="27" t="str">
        <f>IFERROR(__xludf.DUMMYFUNCTION("""COMPUTED_VALUE"""),"hypnotic, binaural, pervert encouragement, poppers, ASMR, goon encouragement")</f>
        <v>hypnotic, binaural, pervert encouragement, poppers, ASMR, goon encouragement</v>
      </c>
    </row>
    <row r="146">
      <c r="A146" s="52">
        <f>IFERROR(__xludf.DUMMYFUNCTION("""COMPUTED_VALUE"""),568.0)</f>
        <v>568</v>
      </c>
      <c r="B146" s="51">
        <f>IFERROR(__xludf.DUMMYFUNCTION("""COMPUTED_VALUE"""),45376.0)</f>
        <v>45376</v>
      </c>
      <c r="C146" s="27" t="str">
        <f>IFERROR(__xludf.DUMMYFUNCTION("""COMPUTED_VALUE"""),"Custom: Perv Gooning Company (lb)")</f>
        <v>Custom: Perv Gooning Company (lb)</v>
      </c>
      <c r="D146" s="27" t="str">
        <f>IFERROR(__xludf.DUMMYFUNCTION("""COMPUTED_VALUE"""),"A file to accompany you through deep perv gooning. ")</f>
        <v>A file to accompany you through deep perv gooning. </v>
      </c>
      <c r="E146" s="27" t="str">
        <f>IFERROR(__xludf.DUMMYFUNCTION("""COMPUTED_VALUE"""),"hypnotic, binaural, pervert encouragement, poppers, ASMR, goon encouragement, bi encouragement, f slur")</f>
        <v>hypnotic, binaural, pervert encouragement, poppers, ASMR, goon encouragement, bi encouragement, f slur</v>
      </c>
    </row>
    <row r="147">
      <c r="A147" s="52">
        <f>IFERROR(__xludf.DUMMYFUNCTION("""COMPUTED_VALUE"""),570.0)</f>
        <v>570</v>
      </c>
      <c r="B147" s="51">
        <f>IFERROR(__xludf.DUMMYFUNCTION("""COMPUTED_VALUE"""),45377.0)</f>
        <v>45377</v>
      </c>
      <c r="C147" s="27" t="str">
        <f>IFERROR(__xludf.DUMMYFUNCTION("""COMPUTED_VALUE"""),"Improv: Encouraged Bi Perv Gooning")</f>
        <v>Improv: Encouraged Bi Perv Gooning</v>
      </c>
      <c r="D147" s="27" t="str">
        <f>IFERROR(__xludf.DUMMYFUNCTION("""COMPUTED_VALUE"""),"Hypnotic file encouraging you to goon to lb")</f>
        <v>Hypnotic file encouraging you to goon to lb</v>
      </c>
      <c r="E147" s="27" t="str">
        <f>IFERROR(__xludf.DUMMYFUNCTION("""COMPUTED_VALUE"""),"hypnotic, binaural, pervert encouragement, poppers, ASMR, goon encouragement, bi encouragement, f slur")</f>
        <v>hypnotic, binaural, pervert encouragement, poppers, ASMR, goon encouragement, bi encouragement, f slur</v>
      </c>
    </row>
    <row r="148">
      <c r="A148" s="52">
        <f>IFERROR(__xludf.DUMMYFUNCTION("""COMPUTED_VALUE"""),577.0)</f>
        <v>577</v>
      </c>
      <c r="B148" s="51">
        <f>IFERROR(__xludf.DUMMYFUNCTION("""COMPUTED_VALUE"""),45389.0)</f>
        <v>45389</v>
      </c>
      <c r="C148" s="27" t="str">
        <f>IFERROR(__xludf.DUMMYFUNCTION("""COMPUTED_VALUE"""),"Improv: JOI For The Most Depraved")</f>
        <v>Improv: JOI For The Most Depraved</v>
      </c>
      <c r="D148" s="27" t="str">
        <f>IFERROR(__xludf.DUMMYFUNCTION("""COMPUTED_VALUE"""),"Your accomplice aka your perv queen encourages and pulls the worst out of you.  ")</f>
        <v>Your accomplice aka your perv queen encourages and pulls the worst out of you.  </v>
      </c>
      <c r="E148" s="27" t="str">
        <f>IFERROR(__xludf.DUMMYFUNCTION("""COMPUTED_VALUE"""),"JOI, pervert encouragement, noncon, mindfucking, snuff, necro")</f>
        <v>JOI, pervert encouragement, noncon, mindfucking, snuff, necro</v>
      </c>
    </row>
    <row r="149">
      <c r="A149" s="52">
        <f>IFERROR(__xludf.DUMMYFUNCTION("""COMPUTED_VALUE"""),604.0)</f>
        <v>604</v>
      </c>
      <c r="B149" s="51">
        <f>IFERROR(__xludf.DUMMYFUNCTION("""COMPUTED_VALUE"""),45422.0)</f>
        <v>45422</v>
      </c>
      <c r="C149" s="27" t="str">
        <f>IFERROR(__xludf.DUMMYFUNCTION("""COMPUTED_VALUE"""),"Goddess Gay Corruption")</f>
        <v>Goddess Gay Corruption</v>
      </c>
      <c r="D149" s="27" t="str">
        <f>IFERROR(__xludf.DUMMYFUNCTION("""COMPUTED_VALUE"""),"Dark corruption file where I make a permanent mark on my perv gooner. ")</f>
        <v>Dark corruption file where I make a permanent mark on my perv gooner. </v>
      </c>
      <c r="E149" s="27" t="str">
        <f>IFERROR(__xludf.DUMMYFUNCTION("""COMPUTED_VALUE"""),"corruption, pervert encouragement, encouraged bi, noncon, extreme ap")</f>
        <v>corruption, pervert encouragement, encouraged bi, noncon, extreme ap</v>
      </c>
    </row>
    <row r="150">
      <c r="A150" s="52">
        <f>IFERROR(__xludf.DUMMYFUNCTION("""COMPUTED_VALUE"""),610.0)</f>
        <v>610</v>
      </c>
      <c r="B150" s="51">
        <f>IFERROR(__xludf.DUMMYFUNCTION("""COMPUTED_VALUE"""),45435.0)</f>
        <v>45435</v>
      </c>
      <c r="C150" s="27" t="str">
        <f>IFERROR(__xludf.DUMMYFUNCTION("""COMPUTED_VALUE"""),"Wake &amp; Edge AP Edition")</f>
        <v>Wake &amp; Edge AP Edition</v>
      </c>
      <c r="D150" s="27" t="str">
        <f>IFERROR(__xludf.DUMMYFUNCTION("""COMPUTED_VALUE"""),"A good owned gooner wakes everday and edges for MY ultimate pleasure and control. ")</f>
        <v>A good owned gooner wakes everday and edges for MY ultimate pleasure and control. </v>
      </c>
      <c r="E150" s="27" t="str">
        <f>IFERROR(__xludf.DUMMYFUNCTION("""COMPUTED_VALUE"""),"edging, pervert encouragement, femdom, denial")</f>
        <v>edging, pervert encouragement, femdom, denial</v>
      </c>
    </row>
    <row r="151">
      <c r="A151" s="52">
        <f>IFERROR(__xludf.DUMMYFUNCTION("""COMPUTED_VALUE"""),611.0)</f>
        <v>611</v>
      </c>
      <c r="B151" s="51">
        <f>IFERROR(__xludf.DUMMYFUNCTION("""COMPUTED_VALUE"""),45435.0)</f>
        <v>45435</v>
      </c>
      <c r="C151" s="27" t="str">
        <f>IFERROR(__xludf.DUMMYFUNCTION("""COMPUTED_VALUE"""),"Session of Corruption")</f>
        <v>Session of Corruption</v>
      </c>
      <c r="D151" s="27" t="str">
        <f>IFERROR(__xludf.DUMMYFUNCTION("""COMPUTED_VALUE"""),"A therapy session where I pull out your inner beast that's always hiding to eventually make it a permanent change and deepest dive into your depravity. ")</f>
        <v>A therapy session where I pull out your inner beast that's always hiding to eventually make it a permanent change and deepest dive into your depravity. </v>
      </c>
      <c r="E151" s="27" t="str">
        <f>IFERROR(__xludf.DUMMYFUNCTION("""COMPUTED_VALUE"""),"pervert encouragement, corruption, affirmations, brainwashing")</f>
        <v>pervert encouragement, corruption, affirmations, brainwashing</v>
      </c>
    </row>
    <row r="152">
      <c r="A152" s="52">
        <f>IFERROR(__xludf.DUMMYFUNCTION("""COMPUTED_VALUE"""),614.0)</f>
        <v>614</v>
      </c>
      <c r="B152" s="51">
        <f>IFERROR(__xludf.DUMMYFUNCTION("""COMPUTED_VALUE"""),45445.0)</f>
        <v>45445</v>
      </c>
      <c r="C152" s="27" t="str">
        <f>IFERROR(__xludf.DUMMYFUNCTION("""COMPUTED_VALUE"""),"BFF Female Pervs")</f>
        <v>BFF Female Pervs</v>
      </c>
      <c r="D152" s="27" t="str">
        <f>IFERROR(__xludf.DUMMYFUNCTION("""COMPUTED_VALUE"""),"Me and the listener are married and I just befriended a lady who I think might be just like us; complete pervs! ")</f>
        <v>Me and the listener are married and I just befriended a lady who I think might be just like us; complete pervs! </v>
      </c>
      <c r="E152" s="27" t="str">
        <f>IFERROR(__xludf.DUMMYFUNCTION("""COMPUTED_VALUE"""),"female pervs, corruption, accomplice, pervert encouragement")</f>
        <v>female pervs, corruption, accomplice, pervert encouragement</v>
      </c>
    </row>
    <row r="153">
      <c r="A153" s="52">
        <f>IFERROR(__xludf.DUMMYFUNCTION("""COMPUTED_VALUE"""),619.0)</f>
        <v>619</v>
      </c>
      <c r="B153" s="51">
        <f>IFERROR(__xludf.DUMMYFUNCTION("""COMPUTED_VALUE"""),45450.0)</f>
        <v>45450</v>
      </c>
      <c r="C153" s="27" t="str">
        <f>IFERROR(__xludf.DUMMYFUNCTION("""COMPUTED_VALUE"""),"Cuties Network Infomercials")</f>
        <v>Cuties Network Infomercials</v>
      </c>
      <c r="D153" s="27" t="str">
        <f>IFERROR(__xludf.DUMMYFUNCTION("""COMPUTED_VALUE"""),"Imagine you fall asleep watching a 24/7 network streaming infomercials for the hottest porn series. ")</f>
        <v>Imagine you fall asleep watching a 24/7 network streaming infomercials for the hottest porn series. </v>
      </c>
      <c r="E153" s="27" t="str">
        <f>IFERROR(__xludf.DUMMYFUNCTION("""COMPUTED_VALUE"""),"pervert encouragement, gooning, alternate reality")</f>
        <v>pervert encouragement, gooning, alternate reality</v>
      </c>
    </row>
    <row r="154">
      <c r="A154" s="52">
        <f>IFERROR(__xludf.DUMMYFUNCTION("""COMPUTED_VALUE"""),622.0)</f>
        <v>622</v>
      </c>
      <c r="B154" s="51">
        <f>IFERROR(__xludf.DUMMYFUNCTION("""COMPUTED_VALUE"""),45454.0)</f>
        <v>45454</v>
      </c>
      <c r="C154" s="27" t="str">
        <f>IFERROR(__xludf.DUMMYFUNCTION("""COMPUTED_VALUE"""),"IG Accomplice")</f>
        <v>IG Accomplice</v>
      </c>
      <c r="D154" s="27" t="str">
        <f>IFERROR(__xludf.DUMMYFUNCTION("""COMPUTED_VALUE"""),"I roleplay as your girlfriend who finds your fav IG girls on your phone and it turns me on how much of perv you are! ")</f>
        <v>I roleplay as your girlfriend who finds your fav IG girls on your phone and it turns me on how much of perv you are! </v>
      </c>
      <c r="E154" s="27" t="str">
        <f>IFERROR(__xludf.DUMMYFUNCTION("""COMPUTED_VALUE"""),"accomplice, pervert encouragement, IG, NN")</f>
        <v>accomplice, pervert encouragement, IG, NN</v>
      </c>
    </row>
    <row r="155">
      <c r="A155" s="52">
        <f>IFERROR(__xludf.DUMMYFUNCTION("""COMPUTED_VALUE"""),623.0)</f>
        <v>623</v>
      </c>
      <c r="B155" s="51">
        <f>IFERROR(__xludf.DUMMYFUNCTION("""COMPUTED_VALUE"""),45455.0)</f>
        <v>45455</v>
      </c>
      <c r="C155" s="27" t="str">
        <f>IFERROR(__xludf.DUMMYFUNCTION("""COMPUTED_VALUE"""),"Perverted Mind Control")</f>
        <v>Perverted Mind Control</v>
      </c>
      <c r="D155" s="27" t="str">
        <f>IFERROR(__xludf.DUMMYFUNCTION("""COMPUTED_VALUE"""),"Patient 64 receives a file from me to help condition his mind to look at females in a different light. ")</f>
        <v>Patient 64 receives a file from me to help condition his mind to look at females in a different light. </v>
      </c>
      <c r="E155" s="27" t="str">
        <f>IFERROR(__xludf.DUMMYFUNCTION("""COMPUTED_VALUE"""),"hypnotic, brainwash, pervert encouragement, misogyny, accomplice")</f>
        <v>hypnotic, brainwash, pervert encouragement, misogyny, accomplice</v>
      </c>
    </row>
    <row r="156">
      <c r="A156" s="52">
        <f>IFERROR(__xludf.DUMMYFUNCTION("""COMPUTED_VALUE"""),625.0)</f>
        <v>625</v>
      </c>
      <c r="B156" s="51">
        <f>IFERROR(__xludf.DUMMYFUNCTION("""COMPUTED_VALUE"""),45457.0)</f>
        <v>45457</v>
      </c>
      <c r="C156" s="27" t="str">
        <f>IFERROR(__xludf.DUMMYFUNCTION("""COMPUTED_VALUE"""),"Collab: Accomplice VS Humiliation")</f>
        <v>Collab: Accomplice VS Humiliation</v>
      </c>
      <c r="D156" s="27" t="str">
        <f>IFERROR(__xludf.DUMMYFUNCTION("""COMPUTED_VALUE"""),"Experience two voices, one accomplice voice and one humiliating one, while you jerk your pervert cock. ")</f>
        <v>Experience two voices, one accomplice voice and one humiliating one, while you jerk your pervert cock. </v>
      </c>
      <c r="E156" s="27" t="str">
        <f>IFERROR(__xludf.DUMMYFUNCTION("""COMPUTED_VALUE"""),"accomplice, humiliation, pervert encouragement, noncon, watersports")</f>
        <v>accomplice, humiliation, pervert encouragement, noncon, watersports</v>
      </c>
    </row>
    <row r="157">
      <c r="A157" s="52">
        <f>IFERROR(__xludf.DUMMYFUNCTION("""COMPUTED_VALUE"""),628.0)</f>
        <v>628</v>
      </c>
      <c r="B157" s="51">
        <f>IFERROR(__xludf.DUMMYFUNCTION("""COMPUTED_VALUE"""),45463.0)</f>
        <v>45463</v>
      </c>
      <c r="C157" s="27" t="str">
        <f>IFERROR(__xludf.DUMMYFUNCTION("""COMPUTED_VALUE"""),"Pretty White Girl Taking")</f>
        <v>Pretty White Girl Taking</v>
      </c>
      <c r="D157" s="27" t="str">
        <f>IFERROR(__xludf.DUMMYFUNCTION("""COMPUTED_VALUE"""),"Short &amp; quick pervert encouragement for a black man. ")</f>
        <v>Short &amp; quick pervert encouragement for a black man. </v>
      </c>
      <c r="E157" s="27" t="str">
        <f>IFERROR(__xludf.DUMMYFUNCTION("""COMPUTED_VALUE"""),"raceplay, noncon, pervert encouragement")</f>
        <v>raceplay, noncon, pervert encouragement</v>
      </c>
    </row>
    <row r="158">
      <c r="A158" s="52">
        <f>IFERROR(__xludf.DUMMYFUNCTION("""COMPUTED_VALUE"""),633.0)</f>
        <v>633</v>
      </c>
      <c r="B158" s="51">
        <f>IFERROR(__xludf.DUMMYFUNCTION("""COMPUTED_VALUE"""),45468.0)</f>
        <v>45468</v>
      </c>
      <c r="C158" s="27" t="str">
        <f>IFERROR(__xludf.DUMMYFUNCTION("""COMPUTED_VALUE"""),"Triggered")</f>
        <v>Triggered</v>
      </c>
      <c r="D158" s="27" t="str">
        <f>IFERROR(__xludf.DUMMYFUNCTION("""COMPUTED_VALUE"""),"I am that encouraging voice in your head that encourages your naughty thoughts that were triggered while in public. ")</f>
        <v>I am that encouraging voice in your head that encourages your naughty thoughts that were triggered while in public. </v>
      </c>
      <c r="E158" s="27" t="str">
        <f>IFERROR(__xludf.DUMMYFUNCTION("""COMPUTED_VALUE"""),"pervert encouragement, foot fetish, oral, breeding mention")</f>
        <v>pervert encouragement, foot fetish, oral, breeding mention</v>
      </c>
    </row>
    <row r="159">
      <c r="A159" s="52">
        <f>IFERROR(__xludf.DUMMYFUNCTION("""COMPUTED_VALUE"""),650.0)</f>
        <v>650</v>
      </c>
      <c r="B159" s="51">
        <f>IFERROR(__xludf.DUMMYFUNCTION("""COMPUTED_VALUE"""),45505.0)</f>
        <v>45505</v>
      </c>
      <c r="C159" s="27" t="str">
        <f>IFERROR(__xludf.DUMMYFUNCTION("""COMPUTED_VALUE"""),"Sneaky Girl Crush")</f>
        <v>Sneaky Girl Crush</v>
      </c>
      <c r="D159" s="27" t="str">
        <f>IFERROR(__xludf.DUMMYFUNCTION("""COMPUTED_VALUE"""),"The inner voice type of video about a man with crush on girl and how he takes advantage of having him stay at his home. ")</f>
        <v>The inner voice type of video about a man with crush on girl and how he takes advantage of having him stay at his home. </v>
      </c>
      <c r="E159" s="27" t="str">
        <f>IFERROR(__xludf.DUMMYFUNCTION("""COMPUTED_VALUE"""),"pervert encouragement, slow burn, light intox")</f>
        <v>pervert encouragement, slow burn, light intox</v>
      </c>
    </row>
    <row r="160">
      <c r="A160" s="52">
        <f>IFERROR(__xludf.DUMMYFUNCTION("""COMPUTED_VALUE"""),658.0)</f>
        <v>658</v>
      </c>
      <c r="B160" s="51">
        <f>IFERROR(__xludf.DUMMYFUNCTION("""COMPUTED_VALUE"""),45526.0)</f>
        <v>45526</v>
      </c>
      <c r="C160" s="27" t="str">
        <f>IFERROR(__xludf.DUMMYFUNCTION("""COMPUTED_VALUE"""),"Flat &amp; Growing JOI")</f>
        <v>Flat &amp; Growing JOI</v>
      </c>
      <c r="D160" s="27" t="str">
        <f>IFERROR(__xludf.DUMMYFUNCTION("""COMPUTED_VALUE"""),"A JOI to accompany you while looking at your favorite social media. ")</f>
        <v>A JOI to accompany you while looking at your favorite social media. </v>
      </c>
      <c r="E160" s="27" t="str">
        <f>IFERROR(__xludf.DUMMYFUNCTION("""COMPUTED_VALUE"""),"pervert encouragement, JOI, social media, tik tok, instagram")</f>
        <v>pervert encouragement, JOI, social media, tik tok, instagram</v>
      </c>
    </row>
    <row r="161">
      <c r="A161" s="52">
        <f>IFERROR(__xludf.DUMMYFUNCTION("""COMPUTED_VALUE"""),661.0)</f>
        <v>661</v>
      </c>
      <c r="B161" s="51">
        <f>IFERROR(__xludf.DUMMYFUNCTION("""COMPUTED_VALUE"""),45528.0)</f>
        <v>45528</v>
      </c>
      <c r="C161" s="27" t="str">
        <f>IFERROR(__xludf.DUMMYFUNCTION("""COMPUTED_VALUE"""),"Pervert Mistress Brainwash")</f>
        <v>Pervert Mistress Brainwash</v>
      </c>
      <c r="D161" s="27" t="str">
        <f>IFERROR(__xludf.DUMMYFUNCTION("""COMPUTED_VALUE"""),"I want the listener to prove their devotion to me as a slave, pumped with corruption, dark porn, and encouraged bi. ")</f>
        <v>I want the listener to prove their devotion to me as a slave, pumped with corruption, dark porn, and encouraged bi. </v>
      </c>
      <c r="E161" s="27" t="str">
        <f>IFERROR(__xludf.DUMMYFUNCTION("""COMPUTED_VALUE"""),"hypno, encouraged bi, corruption, mistress/slave, gooning, pervert encouragement, edging")</f>
        <v>hypno, encouraged bi, corruption, mistress/slave, gooning, pervert encouragement, edging</v>
      </c>
    </row>
    <row r="162">
      <c r="A162" s="52">
        <f>IFERROR(__xludf.DUMMYFUNCTION("""COMPUTED_VALUE"""),671.0)</f>
        <v>671</v>
      </c>
      <c r="B162" s="51">
        <f>IFERROR(__xludf.DUMMYFUNCTION("""COMPUTED_VALUE"""),45547.0)</f>
        <v>45547</v>
      </c>
      <c r="C162" s="27" t="str">
        <f>IFERROR(__xludf.DUMMYFUNCTION("""COMPUTED_VALUE"""),"Taboo Porn Hypnotic Encouragement")</f>
        <v>Taboo Porn Hypnotic Encouragement</v>
      </c>
      <c r="D162" s="27" t="str">
        <f>IFERROR(__xludf.DUMMYFUNCTION("""COMPUTED_VALUE"""),"Hypnotic audio file all about encouraging you to pump and cum to taboo porn. ")</f>
        <v>Hypnotic audio file all about encouraging you to pump and cum to taboo porn. </v>
      </c>
      <c r="E162" s="27" t="str">
        <f>IFERROR(__xludf.DUMMYFUNCTION("""COMPUTED_VALUE"""),"pervert encouragement, hypno, uncle/niece, porn")</f>
        <v>pervert encouragement, hypno, uncle/niece, porn</v>
      </c>
    </row>
    <row r="163">
      <c r="A163" s="52">
        <f>IFERROR(__xludf.DUMMYFUNCTION("""COMPUTED_VALUE"""),676.0)</f>
        <v>676</v>
      </c>
      <c r="B163" s="51">
        <f>IFERROR(__xludf.DUMMYFUNCTION("""COMPUTED_VALUE"""),45559.0)</f>
        <v>45559</v>
      </c>
      <c r="C163" s="27" t="str">
        <f>IFERROR(__xludf.DUMMYFUNCTION("""COMPUTED_VALUE"""),"Do It Counseling Podcast")</f>
        <v>Do It Counseling Podcast</v>
      </c>
      <c r="D163" s="27" t="str">
        <f>IFERROR(__xludf.DUMMYFUNCTION("""COMPUTED_VALUE"""),"A podcast created towards married couples to help them cross that line and do it. ")</f>
        <v>A podcast created towards married couples to help them cross that line and do it. </v>
      </c>
      <c r="E163" s="27" t="str">
        <f>IFERROR(__xludf.DUMMYFUNCTION("""COMPUTED_VALUE"""),"pervert encouragement, therapist, podcast, watersports, couples, lesbian")</f>
        <v>pervert encouragement, therapist, podcast, watersports, couples, lesbian</v>
      </c>
    </row>
    <row r="164">
      <c r="A164" s="52">
        <f>IFERROR(__xludf.DUMMYFUNCTION("""COMPUTED_VALUE"""),678.0)</f>
        <v>678</v>
      </c>
      <c r="B164" s="51">
        <f>IFERROR(__xludf.DUMMYFUNCTION("""COMPUTED_VALUE"""),45559.0)</f>
        <v>45559</v>
      </c>
      <c r="C164" s="27" t="str">
        <f>IFERROR(__xludf.DUMMYFUNCTION("""COMPUTED_VALUE"""),"Pervert Encouraging Wife Hypno")</f>
        <v>Pervert Encouraging Wife Hypno</v>
      </c>
      <c r="D164" s="27" t="str">
        <f>IFERROR(__xludf.DUMMYFUNCTION("""COMPUTED_VALUE"""),"Filthy, enabling wife hypnotically encourages utter depravity. ")</f>
        <v>Filthy, enabling wife hypnotically encourages utter depravity. </v>
      </c>
      <c r="E164" s="27" t="str">
        <f>IFERROR(__xludf.DUMMYFUNCTION("""COMPUTED_VALUE"""),"hypno, sfx, binaural, pervert encouragement, perv gooning, aheago face sounds, pervy wife experience, extreme ap")</f>
        <v>hypno, sfx, binaural, pervert encouragement, perv gooning, aheago face sounds, pervy wife experience, extreme ap</v>
      </c>
    </row>
    <row r="165">
      <c r="A165" s="52">
        <f>IFERROR(__xludf.DUMMYFUNCTION("""COMPUTED_VALUE"""),679.0)</f>
        <v>679</v>
      </c>
      <c r="B165" s="51">
        <f>IFERROR(__xludf.DUMMYFUNCTION("""COMPUTED_VALUE"""),45562.0)</f>
        <v>45562</v>
      </c>
      <c r="C165" s="27" t="str">
        <f>IFERROR(__xludf.DUMMYFUNCTION("""COMPUTED_VALUE"""),"Sleepover Jerk")</f>
        <v>Sleepover Jerk</v>
      </c>
      <c r="D165" s="27" t="str">
        <f>IFERROR(__xludf.DUMMYFUNCTION("""COMPUTED_VALUE"""),"I discover you jerking off while we're at a sleepover and encourage you to keep going with me whispering in your ear. ")</f>
        <v>I discover you jerking off while we're at a sleepover and encourage you to keep going with me whispering in your ear. </v>
      </c>
      <c r="E165" s="27" t="str">
        <f>IFERROR(__xludf.DUMMYFUNCTION("""COMPUTED_VALUE"""),"pervert encouragement, accomplice, pervy girlfriend experience, whispers, ASMR, noncon, breeding")</f>
        <v>pervert encouragement, accomplice, pervy girlfriend experience, whispers, ASMR, noncon, breeding</v>
      </c>
    </row>
    <row r="166">
      <c r="A166" s="52">
        <f>IFERROR(__xludf.DUMMYFUNCTION("""COMPUTED_VALUE"""),680.0)</f>
        <v>680</v>
      </c>
      <c r="B166" s="51">
        <f>IFERROR(__xludf.DUMMYFUNCTION("""COMPUTED_VALUE"""),45563.0)</f>
        <v>45563</v>
      </c>
      <c r="C166" s="27" t="str">
        <f>IFERROR(__xludf.DUMMYFUNCTION("""COMPUTED_VALUE"""),"Perverted Encouragement JOI")</f>
        <v>Perverted Encouragement JOI</v>
      </c>
      <c r="D166" s="27" t="str">
        <f>IFERROR(__xludf.DUMMYFUNCTION("""COMPUTED_VALUE"""),"I roleplay as your girlfriend on the phone who is sending you naughty pics to jerk off to. ")</f>
        <v>I roleplay as your girlfriend on the phone who is sending you naughty pics to jerk off to. </v>
      </c>
      <c r="E166" s="27" t="str">
        <f>IFERROR(__xludf.DUMMYFUNCTION("""COMPUTED_VALUE"""),"JOI, pervert encouragement, noncon, accomplice, cum countdown")</f>
        <v>JOI, pervert encouragement, noncon, accomplice, cum countdown</v>
      </c>
    </row>
    <row r="167">
      <c r="A167" s="52">
        <f>IFERROR(__xludf.DUMMYFUNCTION("""COMPUTED_VALUE"""),682.0)</f>
        <v>682</v>
      </c>
      <c r="B167" s="51">
        <f>IFERROR(__xludf.DUMMYFUNCTION("""COMPUTED_VALUE"""),45565.0)</f>
        <v>45565</v>
      </c>
      <c r="C167" s="27" t="str">
        <f>IFERROR(__xludf.DUMMYFUNCTION("""COMPUTED_VALUE"""),"Pervy GFE Halloween Edition")</f>
        <v>Pervy GFE Halloween Edition</v>
      </c>
      <c r="D167" s="27" t="str">
        <f>IFERROR(__xludf.DUMMYFUNCTION("""COMPUTED_VALUE"""),"I'm your girlfriend and we're at home on Halloween night, playing with each other. We get interrupted multiple times by trick or treaters and I use this to our advantage. ")</f>
        <v>I'm your girlfriend and we're at home on Halloween night, playing with each other. We get interrupted multiple times by trick or treaters and I use this to our advantage. </v>
      </c>
      <c r="E167" s="27" t="str">
        <f>IFERROR(__xludf.DUMMYFUNCTION("""COMPUTED_VALUE"""),"pervy gfe, accomplice, pervert encouragement, noncon, halloween, trick or treat")</f>
        <v>pervy gfe, accomplice, pervert encouragement, noncon, halloween, trick or treat</v>
      </c>
    </row>
    <row r="168">
      <c r="A168" s="52">
        <f>IFERROR(__xludf.DUMMYFUNCTION("""COMPUTED_VALUE"""),684.0)</f>
        <v>684</v>
      </c>
      <c r="B168" s="51">
        <f>IFERROR(__xludf.DUMMYFUNCTION("""COMPUTED_VALUE"""),45569.0)</f>
        <v>45569</v>
      </c>
      <c r="C168" s="27" t="str">
        <f>IFERROR(__xludf.DUMMYFUNCTION("""COMPUTED_VALUE"""),"Filthy and Depraved JOI")</f>
        <v>Filthy and Depraved JOI</v>
      </c>
      <c r="D168" s="27" t="str">
        <f>IFERROR(__xludf.DUMMYFUNCTION("""COMPUTED_VALUE"""),"So you like to hit up the social media streets, pervert? Here's a JOI for you.")</f>
        <v>So you like to hit up the social media streets, pervert? Here's a JOI for you.</v>
      </c>
      <c r="E168" s="27" t="str">
        <f>IFERROR(__xludf.DUMMYFUNCTION("""COMPUTED_VALUE"""),"pervert encouragement, goon, JOI, social media, corruption")</f>
        <v>pervert encouragement, goon, JOI, social media, corruption</v>
      </c>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33.75"/>
    <col customWidth="1" min="4" max="4" width="32.38"/>
    <col customWidth="1" min="5" max="5" width="30.13"/>
  </cols>
  <sheetData>
    <row r="1">
      <c r="A1" s="62"/>
      <c r="B1" s="46" t="s">
        <v>2014</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2015</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""(?i)beast""))"),132.0)</f>
        <v>132</v>
      </c>
      <c r="B6" s="51">
        <f>IFERROR(__xludf.DUMMYFUNCTION("""COMPUTED_VALUE"""),44842.0)</f>
        <v>44842</v>
      </c>
      <c r="C6" s="27" t="str">
        <f>IFERROR(__xludf.DUMMYFUNCTION("""COMPUTED_VALUE"""),"Script Fill: The Bus")</f>
        <v>Script Fill: The Bus</v>
      </c>
      <c r="D6" s="27" t="str">
        <f>IFERROR(__xludf.DUMMYFUNCTION("""COMPUTED_VALUE""")," A group celebrates their football game victory on the way home on the bus. ")</f>
        <v> A group celebrates their football game victory on the way home on the bus. </v>
      </c>
      <c r="E6" s="27" t="str">
        <f>IFERROR(__xludf.DUMMYFUNCTION("""COMPUTED_VALUE"""),"group sex, anal, oral, beast, extreme use, coaches &amp; bus driver get involved, intoxication")</f>
        <v>group sex, anal, oral, beast, extreme use, coaches &amp; bus driver get involved, intoxication</v>
      </c>
    </row>
    <row r="7">
      <c r="A7" s="27">
        <f>IFERROR(__xludf.DUMMYFUNCTION("""COMPUTED_VALUE"""),153.0)</f>
        <v>153</v>
      </c>
      <c r="B7" s="51">
        <f>IFERROR(__xludf.DUMMYFUNCTION("""COMPUTED_VALUE"""),44866.0)</f>
        <v>44866</v>
      </c>
      <c r="C7" s="27" t="str">
        <f>IFERROR(__xludf.DUMMYFUNCTION("""COMPUTED_VALUE"""),"Custom: Birthday Doggy Fuck")</f>
        <v>Custom: Birthday Doggy Fuck</v>
      </c>
      <c r="D7" s="27" t="str">
        <f>IFERROR(__xludf.DUMMYFUNCTION("""COMPUTED_VALUE"""),"It's our daughter's birthday! We want to gift her (and the dog) an amazing gift. ")</f>
        <v>It's our daughter's birthday! We want to gift her (and the dog) an amazing gift. </v>
      </c>
      <c r="E7" s="27" t="str">
        <f>IFERROR(__xludf.DUMMYFUNCTION("""COMPUTED_VALUE"""),"training, doggy fuck, knot, doggy sperm, incest mention, consensual, creampie, beast")</f>
        <v>training, doggy fuck, knot, doggy sperm, incest mention, consensual, creampie, beast</v>
      </c>
    </row>
    <row r="8">
      <c r="A8" s="27">
        <f>IFERROR(__xludf.DUMMYFUNCTION("""COMPUTED_VALUE"""),188.0)</f>
        <v>188</v>
      </c>
      <c r="B8" s="51">
        <f>IFERROR(__xludf.DUMMYFUNCTION("""COMPUTED_VALUE"""),44908.0)</f>
        <v>44908</v>
      </c>
      <c r="C8" s="27" t="str">
        <f>IFERROR(__xludf.DUMMYFUNCTION("""COMPUTED_VALUE"""),"Custom: Your Wife Accomplice")</f>
        <v>Custom: Your Wife Accomplice</v>
      </c>
      <c r="D8" s="27" t="str">
        <f>IFERROR(__xludf.DUMMYFUNCTION("""COMPUTED_VALUE"""),"I'm your wife and you've recently admitted to me what you are attracted to. I get wrapped up and fall down a depraved hole, insisting you come along with me. Your two nieces are in the plan.")</f>
        <v>I'm your wife and you've recently admitted to me what you are attracted to. I get wrapped up and fall down a depraved hole, insisting you come along with me. Your two nieces are in the plan.</v>
      </c>
      <c r="E8" s="27" t="str">
        <f>IFERROR(__xludf.DUMMYFUNCTION("""COMPUTED_VALUE"""),"handjob in bed, online perv chat, very light cuckold, light raceplay (white, BBC, Indian), molest, finger, gangbang, uncle/nieces, beast, accomplice")</f>
        <v>handjob in bed, online perv chat, very light cuckold, light raceplay (white, BBC, Indian), molest, finger, gangbang, uncle/nieces, beast, accomplice</v>
      </c>
    </row>
    <row r="9">
      <c r="A9" s="27">
        <f>IFERROR(__xludf.DUMMYFUNCTION("""COMPUTED_VALUE"""),189.0)</f>
        <v>189</v>
      </c>
      <c r="B9" s="51">
        <f>IFERROR(__xludf.DUMMYFUNCTION("""COMPUTED_VALUE"""),44911.0)</f>
        <v>44911</v>
      </c>
      <c r="C9" s="27" t="str">
        <f>IFERROR(__xludf.DUMMYFUNCTION("""COMPUTED_VALUE"""),"Script Fill: Mistress Playtime Part 3")</f>
        <v>Script Fill: Mistress Playtime Part 3</v>
      </c>
      <c r="D9" s="27" t="str">
        <f>IFERROR(__xludf.DUMMYFUNCTION("""COMPUTED_VALUE"""),"Loli Mistress Beatrix has a special treat for you. Her friends and dogs all cum together, including you.")</f>
        <v>Loli Mistress Beatrix has a special treat for you. Her friends and dogs all cum together, including you.</v>
      </c>
      <c r="E9" s="27" t="str">
        <f>IFERROR(__xludf.DUMMYFUNCTION("""COMPUTED_VALUE"""),"fdom, dom, msub, fsub, doggy fuck orgy, fingering, oral, orgy, creampie, breeding, dog sfx, moaning sfx, beast")</f>
        <v>fdom, dom, msub, fsub, doggy fuck orgy, fingering, oral, orgy, creampie, breeding, dog sfx, moaning sfx, beast</v>
      </c>
    </row>
    <row r="10">
      <c r="A10" s="27">
        <f>IFERROR(__xludf.DUMMYFUNCTION("""COMPUTED_VALUE"""),209.0)</f>
        <v>209</v>
      </c>
      <c r="B10" s="51">
        <f>IFERROR(__xludf.DUMMYFUNCTION("""COMPUTED_VALUE"""),44939.0)</f>
        <v>44939</v>
      </c>
      <c r="C10" s="27" t="str">
        <f>IFERROR(__xludf.DUMMYFUNCTION("""COMPUTED_VALUE"""),"Script Fill: A Quiet Evening")</f>
        <v>Script Fill: A Quiet Evening</v>
      </c>
      <c r="D10" s="27" t="str">
        <f>IFERROR(__xludf.DUMMYFUNCTION("""COMPUTED_VALUE"""),"Experience this family's quiet evening home where incest and depraved things happen")</f>
        <v>Experience this family's quiet evening home where incest and depraved things happen</v>
      </c>
      <c r="E10" s="27" t="str">
        <f>IFERROR(__xludf.DUMMYFUNCTION("""COMPUTED_VALUE"""),"female masturbation, anal, incest, female moaning, whispers, oral, ddlg, beast, sex messes")</f>
        <v>female masturbation, anal, incest, female moaning, whispers, oral, ddlg, beast, sex messes</v>
      </c>
    </row>
    <row r="11">
      <c r="A11" s="27">
        <f>IFERROR(__xludf.DUMMYFUNCTION("""COMPUTED_VALUE"""),226.0)</f>
        <v>226</v>
      </c>
      <c r="B11" s="51">
        <f>IFERROR(__xludf.DUMMYFUNCTION("""COMPUTED_VALUE"""),44953.0)</f>
        <v>44953</v>
      </c>
      <c r="C11" s="27" t="str">
        <f>IFERROR(__xludf.DUMMYFUNCTION("""COMPUTED_VALUE"""),"Custom: Puppy Love")</f>
        <v>Custom: Puppy Love</v>
      </c>
      <c r="D11" s="27" t="str">
        <f>IFERROR(__xludf.DUMMYFUNCTION("""COMPUTED_VALUE"""),"I roleplay as your wife and encourage you to take part in some sick and twisted beast fucking.")</f>
        <v>I roleplay as your wife and encourage you to take part in some sick and twisted beast fucking.</v>
      </c>
      <c r="E11" s="27" t="str">
        <f>IFERROR(__xludf.DUMMYFUNCTION("""COMPUTED_VALUE"""),"pervy gfe, beast, doggy style, two orgasms, poppers, throat fucking, snuff")</f>
        <v>pervy gfe, beast, doggy style, two orgasms, poppers, throat fucking, snuff</v>
      </c>
    </row>
    <row r="12">
      <c r="A12" s="27">
        <f>IFERROR(__xludf.DUMMYFUNCTION("""COMPUTED_VALUE"""),267.0)</f>
        <v>267</v>
      </c>
      <c r="B12" s="51">
        <f>IFERROR(__xludf.DUMMYFUNCTION("""COMPUTED_VALUE"""),45008.0)</f>
        <v>45008</v>
      </c>
      <c r="C12" s="27" t="str">
        <f>IFERROR(__xludf.DUMMYFUNCTION("""COMPUTED_VALUE"""),"Dolls Porn Production Interview")</f>
        <v>Dolls Porn Production Interview</v>
      </c>
      <c r="D12" s="27" t="str">
        <f>IFERROR(__xludf.DUMMYFUNCTION("""COMPUTED_VALUE"""),"You’re interviewing for the male talent position with me. We review your history and capabilities to fill the role and then tour the facility with me. ")</f>
        <v>You’re interviewing for the male talent position with me. We review your history and capabilities to fill the role and then tour the facility with me. </v>
      </c>
      <c r="E12" s="27" t="str">
        <f>IFERROR(__xludf.DUMMYFUNCTION("""COMPUTED_VALUE"""),"alternate reality, extreme, DDlg, fluffer, drug mention, noncon, fingering, porn setting, watersports, bondage, beast, bukkake, helicopter moms, pervert encouragement")</f>
        <v>alternate reality, extreme, DDlg, fluffer, drug mention, noncon, fingering, porn setting, watersports, bondage, beast, bukkake, helicopter moms, pervert encouragement</v>
      </c>
    </row>
    <row r="13">
      <c r="A13" s="27">
        <f>IFERROR(__xludf.DUMMYFUNCTION("""COMPUTED_VALUE"""),268.0)</f>
        <v>268</v>
      </c>
      <c r="B13" s="51">
        <f>IFERROR(__xludf.DUMMYFUNCTION("""COMPUTED_VALUE"""),45008.0)</f>
        <v>45008</v>
      </c>
      <c r="C13" s="27" t="str">
        <f>IFERROR(__xludf.DUMMYFUNCTION("""COMPUTED_VALUE"""),"Commercials of Perversions")</f>
        <v>Commercials of Perversions</v>
      </c>
      <c r="D13" s="27" t="str">
        <f>IFERROR(__xludf.DUMMYFUNCTION("""COMPUTED_VALUE""")," Maisie Moon is back with more commercials of extreme perversions. ")</f>
        <v> Maisie Moon is back with more commercials of extreme perversions. </v>
      </c>
      <c r="E13" s="27" t="str">
        <f>IFERROR(__xludf.DUMMYFUNCTION("""COMPUTED_VALUE"""),"sex toys, deep throat, intoxication, DDlg, incest, bdsm, plastic surgery, chastity, beast, snuff, necro, misogyny")</f>
        <v>sex toys, deep throat, intoxication, DDlg, incest, bdsm, plastic surgery, chastity, beast, snuff, necro, misogyny</v>
      </c>
    </row>
    <row r="14">
      <c r="A14" s="27">
        <f>IFERROR(__xludf.DUMMYFUNCTION("""COMPUTED_VALUE"""),271.0)</f>
        <v>271</v>
      </c>
      <c r="B14" s="51">
        <f>IFERROR(__xludf.DUMMYFUNCTION("""COMPUTED_VALUE"""),45009.0)</f>
        <v>45009</v>
      </c>
      <c r="C14" s="27" t="str">
        <f>IFERROR(__xludf.DUMMYFUNCTION("""COMPUTED_VALUE"""),"Pervy Ramblings: Happy Meals &amp; Obsessions")</f>
        <v>Pervy Ramblings: Happy Meals &amp; Obsessions</v>
      </c>
      <c r="D14" s="27" t="str">
        <f>IFERROR(__xludf.DUMMYFUNCTION("""COMPUTED_VALUE"""),"Coming back weekly. The pervy ramblings from Miss Bea’s head. ")</f>
        <v>Coming back weekly. The pervy ramblings from Miss Bea’s head. </v>
      </c>
      <c r="E14" s="27" t="str">
        <f>IFERROR(__xludf.DUMMYFUNCTION("""COMPUTED_VALUE"""),"female masturbation, DDlg, uncle/niece, foot fetish, beast, happy meals, misogyny, rambling")</f>
        <v>female masturbation, DDlg, uncle/niece, foot fetish, beast, happy meals, misogyny, rambling</v>
      </c>
    </row>
    <row r="15">
      <c r="A15" s="27">
        <f>IFERROR(__xludf.DUMMYFUNCTION("""COMPUTED_VALUE"""),283.0)</f>
        <v>283</v>
      </c>
      <c r="B15" s="51">
        <f>IFERROR(__xludf.DUMMYFUNCTION("""COMPUTED_VALUE"""),45021.0)</f>
        <v>45021</v>
      </c>
      <c r="C15" s="27" t="str">
        <f>IFERROR(__xludf.DUMMYFUNCTION("""COMPUTED_VALUE"""),"Silent Call: Beast Encouragement")</f>
        <v>Silent Call: Beast Encouragement</v>
      </c>
      <c r="D15" s="27" t="str">
        <f>IFERROR(__xludf.DUMMYFUNCTION("""COMPUTED_VALUE"""),"I play as your kinky girlfriend that encourages you to fuck our pet. ")</f>
        <v>I play as your kinky girlfriend that encourages you to fuck our pet. </v>
      </c>
      <c r="E15" s="27" t="str">
        <f>IFERROR(__xludf.DUMMYFUNCTION("""COMPUTED_VALUE"""),"beast, noncon, breeding fail, perverted gfe, creampie")</f>
        <v>beast, noncon, breeding fail, perverted gfe, creampie</v>
      </c>
    </row>
    <row r="16">
      <c r="A16" s="27">
        <f>IFERROR(__xludf.DUMMYFUNCTION("""COMPUTED_VALUE"""),308.0)</f>
        <v>308</v>
      </c>
      <c r="B16" s="51">
        <f>IFERROR(__xludf.DUMMYFUNCTION("""COMPUTED_VALUE"""),45061.0)</f>
        <v>45061</v>
      </c>
      <c r="C16" s="27" t="str">
        <f>IFERROR(__xludf.DUMMYFUNCTION("""COMPUTED_VALUE"""),"Custom: A Porn Mom’s Interview")</f>
        <v>Custom: A Porn Mom’s Interview</v>
      </c>
      <c r="D16" s="27" t="str">
        <f>IFERROR(__xludf.DUMMYFUNCTION("""COMPUTED_VALUE"""),"I role-play as a mother who got her daughter into porn and what lead us to the final, pinnacle porn scene of her life.  ")</f>
        <v>I role-play as a mother who got her daughter into porn and what lead us to the final, pinnacle porn scene of her life.  </v>
      </c>
      <c r="E16" s="27" t="str">
        <f>IFERROR(__xludf.DUMMYFUNCTION("""COMPUTED_VALUE"""),"photo shoots, slut training, bbc gangbang, bukkake, beast, cnc, bondage, snuff, extreme use, viagra, monster cocks, pervert encouragement")</f>
        <v>photo shoots, slut training, bbc gangbang, bukkake, beast, cnc, bondage, snuff, extreme use, viagra, monster cocks, pervert encouragement</v>
      </c>
    </row>
    <row r="17">
      <c r="A17" s="27">
        <f>IFERROR(__xludf.DUMMYFUNCTION("""COMPUTED_VALUE"""),324.0)</f>
        <v>324</v>
      </c>
      <c r="B17" s="51">
        <f>IFERROR(__xludf.DUMMYFUNCTION("""COMPUTED_VALUE"""),45090.0)</f>
        <v>45090</v>
      </c>
      <c r="C17" s="27" t="str">
        <f>IFERROR(__xludf.DUMMYFUNCTION("""COMPUTED_VALUE"""),"Custom: Family Movie Night")</f>
        <v>Custom: Family Movie Night</v>
      </c>
      <c r="D17" s="27" t="str">
        <f>IFERROR(__xludf.DUMMYFUNCTION("""COMPUTED_VALUE"""),"A mom and dad film a special porn video that shows off their slutty toy")</f>
        <v>A mom and dad film a special porn video that shows off their slutty toy</v>
      </c>
      <c r="E17" s="27" t="str">
        <f>IFERROR(__xludf.DUMMYFUNCTION("""COMPUTED_VALUE"""),"MDlg, DDlg, oral, submissive slut, ball gag, leash and collar, bondage, rimming, female moans, blow job sfx, beast, beast sfx, creampie")</f>
        <v>MDlg, DDlg, oral, submissive slut, ball gag, leash and collar, bondage, rimming, female moans, blow job sfx, beast, beast sfx, creampie</v>
      </c>
    </row>
    <row r="18">
      <c r="A18" s="27">
        <f>IFERROR(__xludf.DUMMYFUNCTION("""COMPUTED_VALUE"""),326.0)</f>
        <v>326</v>
      </c>
      <c r="B18" s="51">
        <f>IFERROR(__xludf.DUMMYFUNCTION("""COMPUTED_VALUE"""),45092.0)</f>
        <v>45092</v>
      </c>
      <c r="C18" s="27" t="str">
        <f>IFERROR(__xludf.DUMMYFUNCTION("""COMPUTED_VALUE"""),"Silent Call: Naughty Zoo GF")</f>
        <v>Silent Call: Naughty Zoo GF</v>
      </c>
      <c r="D18" s="27" t="str">
        <f>IFERROR(__xludf.DUMMYFUNCTION("""COMPUTED_VALUE"""),"I role-play as your girlfriend who proves she’s just as perverted as you. ")</f>
        <v>I role-play as your girlfriend who proves she’s just as perverted as you. </v>
      </c>
      <c r="E18" s="27" t="str">
        <f>IFERROR(__xludf.DUMMYFUNCTION("""COMPUTED_VALUE"""),"beast, perverted af")</f>
        <v>beast, perverted af</v>
      </c>
    </row>
    <row r="19">
      <c r="A19" s="27">
        <f>IFERROR(__xludf.DUMMYFUNCTION("""COMPUTED_VALUE"""),333.0)</f>
        <v>333</v>
      </c>
      <c r="B19" s="51">
        <f>IFERROR(__xludf.DUMMYFUNCTION("""COMPUTED_VALUE"""),45103.0)</f>
        <v>45103</v>
      </c>
      <c r="C19" s="27" t="str">
        <f>IFERROR(__xludf.DUMMYFUNCTION("""COMPUTED_VALUE"""),"Custom: Knotty Girlfriend")</f>
        <v>Custom: Knotty Girlfriend</v>
      </c>
      <c r="D19" s="27" t="str">
        <f>IFERROR(__xludf.DUMMYFUNCTION("""COMPUTED_VALUE"""),"Oops, my boyfriend caught have a super perverted moment with my two furry pets. Luckily, he is turned on by it and we start training them to be both our fuck toys. ")</f>
        <v>Oops, my boyfriend caught have a super perverted moment with my two furry pets. Luckily, he is turned on by it and we start training them to be both our fuck toys. </v>
      </c>
      <c r="E19" s="27" t="str">
        <f>IFERROR(__xludf.DUMMYFUNCTION("""COMPUTED_VALUE"""),"beast, sfx, moaning, creampies, oral, rimming, pegging, group sex")</f>
        <v>beast, sfx, moaning, creampies, oral, rimming, pegging, group sex</v>
      </c>
    </row>
    <row r="20">
      <c r="A20" s="27">
        <f>IFERROR(__xludf.DUMMYFUNCTION("""COMPUTED_VALUE"""),370.0)</f>
        <v>370</v>
      </c>
      <c r="B20" s="51">
        <f>IFERROR(__xludf.DUMMYFUNCTION("""COMPUTED_VALUE"""),45149.0)</f>
        <v>45149</v>
      </c>
      <c r="C20" s="27" t="str">
        <f>IFERROR(__xludf.DUMMYFUNCTION("""COMPUTED_VALUE"""),"Knotty Girlfriend Part 2")</f>
        <v>Knotty Girlfriend Part 2</v>
      </c>
      <c r="D20" s="27" t="str">
        <f>IFERROR(__xludf.DUMMYFUNCTION("""COMPUTED_VALUE"""),"I find out our milf neighbor is desperate for a fuck buddy and I have the perfect solution for her. ")</f>
        <v>I find out our milf neighbor is desperate for a fuck buddy and I have the perfect solution for her. </v>
      </c>
      <c r="E20" s="27" t="str">
        <f>IFERROR(__xludf.DUMMYFUNCTION("""COMPUTED_VALUE"""),"perverted gfe, beast, zoo, sfx, oral, creampies, threesome/foursome")</f>
        <v>perverted gfe, beast, zoo, sfx, oral, creampies, threesome/foursome</v>
      </c>
    </row>
    <row r="21">
      <c r="A21" s="27">
        <f>IFERROR(__xludf.DUMMYFUNCTION("""COMPUTED_VALUE"""),395.0)</f>
        <v>395</v>
      </c>
      <c r="B21" s="51">
        <f>IFERROR(__xludf.DUMMYFUNCTION("""COMPUTED_VALUE"""),45178.0)</f>
        <v>45178</v>
      </c>
      <c r="C21" s="27" t="str">
        <f>IFERROR(__xludf.DUMMYFUNCTION("""COMPUTED_VALUE"""),"Improv: Take Beast Dick for Mistress")</f>
        <v>Improv: Take Beast Dick for Mistress</v>
      </c>
      <c r="D21" s="27" t="str">
        <f>IFERROR(__xludf.DUMMYFUNCTION("""COMPUTED_VALUE"""),"I’m your mistress and you’re getting fucked by my pet.")</f>
        <v>I’m your mistress and you’re getting fucked by my pet.</v>
      </c>
      <c r="E21" s="27" t="str">
        <f>IFERROR(__xludf.DUMMYFUNCTION("""COMPUTED_VALUE"""),"femdom, beast, anal/pegged, cumdump princess")</f>
        <v>femdom, beast, anal/pegged, cumdump princess</v>
      </c>
    </row>
    <row r="22">
      <c r="A22" s="27">
        <f>IFERROR(__xludf.DUMMYFUNCTION("""COMPUTED_VALUE"""),409.0)</f>
        <v>409</v>
      </c>
      <c r="B22" s="51">
        <f>IFERROR(__xludf.DUMMYFUNCTION("""COMPUTED_VALUE"""),45198.0)</f>
        <v>45198</v>
      </c>
      <c r="C22" s="27" t="str">
        <f>IFERROR(__xludf.DUMMYFUNCTION("""COMPUTED_VALUE"""),"Improv: Knotty Husband")</f>
        <v>Improv: Knotty Husband</v>
      </c>
      <c r="D22" s="27" t="str">
        <f>IFERROR(__xludf.DUMMYFUNCTION("""COMPUTED_VALUE"""),"I’m your wife and we both know your cock curious. Why don’t we try out a “safe” cock we have at home with us.")</f>
        <v>I’m your wife and we both know your cock curious. Why don’t we try out a “safe” cock we have at home with us.</v>
      </c>
      <c r="E22" s="27" t="str">
        <f>IFERROR(__xludf.DUMMYFUNCTION("""COMPUTED_VALUE"""),"beast, bi encouragement, anal, rimming, no ap")</f>
        <v>beast, bi encouragement, anal, rimming, no ap</v>
      </c>
    </row>
    <row r="23">
      <c r="A23" s="27">
        <f>IFERROR(__xludf.DUMMYFUNCTION("""COMPUTED_VALUE"""),421.0)</f>
        <v>421</v>
      </c>
      <c r="B23" s="51">
        <f>IFERROR(__xludf.DUMMYFUNCTION("""COMPUTED_VALUE"""),45210.0)</f>
        <v>45210</v>
      </c>
      <c r="C23" s="27" t="str">
        <f>IFERROR(__xludf.DUMMYFUNCTION("""COMPUTED_VALUE"""),"Improv: Knotty Hubby Pt 2")</f>
        <v>Improv: Knotty Hubby Pt 2</v>
      </c>
      <c r="D23" s="27" t="str">
        <f>IFERROR(__xludf.DUMMYFUNCTION("""COMPUTED_VALUE"""),"Encouraging wifey brought even more cock for her husband to experience.")</f>
        <v>Encouraging wifey brought even more cock for her husband to experience.</v>
      </c>
      <c r="E23" s="27" t="str">
        <f>IFERROR(__xludf.DUMMYFUNCTION("""COMPUTED_VALUE"""),"beast, bicurious, encouraged bi, tgirl cock, oral, anal")</f>
        <v>beast, bicurious, encouraged bi, tgirl cock, oral, anal</v>
      </c>
    </row>
    <row r="24">
      <c r="A24" s="27">
        <f>IFERROR(__xludf.DUMMYFUNCTION("""COMPUTED_VALUE"""),450.0)</f>
        <v>450</v>
      </c>
      <c r="B24" s="51">
        <f>IFERROR(__xludf.DUMMYFUNCTION("""COMPUTED_VALUE"""),45239.0)</f>
        <v>45239</v>
      </c>
      <c r="C24" s="27" t="str">
        <f>IFERROR(__xludf.DUMMYFUNCTION("""COMPUTED_VALUE"""),"Brutal Revenge")</f>
        <v>Brutal Revenge</v>
      </c>
      <c r="D24" s="27" t="str">
        <f>IFERROR(__xludf.DUMMYFUNCTION("""COMPUTED_VALUE"""),"I am a witch and scour thousands of men to find one I can use for serving up revenge. The listener is transformed into a beast of man to help me torture a mother and daughter.")</f>
        <v>I am a witch and scour thousands of men to find one I can use for serving up revenge. The listener is transformed into a beast of man to help me torture a mother and daughter.</v>
      </c>
      <c r="E24" s="27" t="str">
        <f>IFERROR(__xludf.DUMMYFUNCTION("""COMPUTED_VALUE"""),"witchcraft, hypnosis, transformation, binaural, torture, sadism, beast, forced STD sex, snuff, extreme")</f>
        <v>witchcraft, hypnosis, transformation, binaural, torture, sadism, beast, forced STD sex, snuff, extreme</v>
      </c>
    </row>
    <row r="25">
      <c r="A25" s="27">
        <f>IFERROR(__xludf.DUMMYFUNCTION("""COMPUTED_VALUE"""),474.0)</f>
        <v>474</v>
      </c>
      <c r="B25" s="51">
        <f>IFERROR(__xludf.DUMMYFUNCTION("""COMPUTED_VALUE"""),45633.0)</f>
        <v>45633</v>
      </c>
      <c r="C25" s="27" t="str">
        <f>IFERROR(__xludf.DUMMYFUNCTION("""COMPUTED_VALUE"""),"Custom: Santa’s Good Girl")</f>
        <v>Custom: Santa’s Good Girl</v>
      </c>
      <c r="D25" s="27" t="str">
        <f>IFERROR(__xludf.DUMMYFUNCTION("""COMPUTED_VALUE""")," I am completely brainwashed by my parents that Santa is in fact real because he comes and visits my bedroom every single year and spreads so much magic inside and on me. He even brings elves, special misfit toys, and Rudolph!!")</f>
        <v> I am completely brainwashed by my parents that Santa is in fact real because he comes and visits my bedroom every single year and spreads so much magic inside and on me. He even brings elves, special misfit toys, and Rudolph!!</v>
      </c>
      <c r="E25" s="27" t="str">
        <f>IFERROR(__xludf.DUMMYFUNCTION("""COMPUTED_VALUE"""),"making the holiday pervy af, cum play, glory hole, beast, parent accomplices, webcam")</f>
        <v>making the holiday pervy af, cum play, glory hole, beast, parent accomplices, webcam</v>
      </c>
    </row>
    <row r="26">
      <c r="A26" s="27">
        <f>IFERROR(__xludf.DUMMYFUNCTION("""COMPUTED_VALUE"""),484.0)</f>
        <v>484</v>
      </c>
      <c r="B26" s="51">
        <f>IFERROR(__xludf.DUMMYFUNCTION("""COMPUTED_VALUE"""),45647.0)</f>
        <v>45647</v>
      </c>
      <c r="C26" s="27" t="str">
        <f>IFERROR(__xludf.DUMMYFUNCTION("""COMPUTED_VALUE"""),"Custom: Mommy Gets Abusive")</f>
        <v>Custom: Mommy Gets Abusive</v>
      </c>
      <c r="D26" s="27" t="str">
        <f>IFERROR(__xludf.DUMMYFUNCTION("""COMPUTED_VALUE"""),"You’re my husband and I get a wild idea one evening. ")</f>
        <v>You’re my husband and I get a wild idea one evening. </v>
      </c>
      <c r="E26" s="27" t="str">
        <f>IFERROR(__xludf.DUMMYFUNCTION("""COMPUTED_VALUE"""),"MDlb, DDlb, beast, watersports, sadistic, humiliation, oral, anal, f slur, forced bi")</f>
        <v>MDlb, DDlb, beast, watersports, sadistic, humiliation, oral, anal, f slur, forced bi</v>
      </c>
    </row>
    <row r="27">
      <c r="A27" s="27">
        <f>IFERROR(__xludf.DUMMYFUNCTION("""COMPUTED_VALUE"""),491.0)</f>
        <v>491</v>
      </c>
      <c r="B27" s="51">
        <f>IFERROR(__xludf.DUMMYFUNCTION("""COMPUTED_VALUE"""),45655.0)</f>
        <v>45655</v>
      </c>
      <c r="C27" s="27" t="str">
        <f>IFERROR(__xludf.DUMMYFUNCTION("""COMPUTED_VALUE"""),"Custom: Holiday Family Dinner")</f>
        <v>Custom: Holiday Family Dinner</v>
      </c>
      <c r="D27" s="27" t="str">
        <f>IFERROR(__xludf.DUMMYFUNCTION("""COMPUTED_VALUE"""),"A family has a very interesting way of having a holiday dinner. ")</f>
        <v>A family has a very interesting way of having a holiday dinner. </v>
      </c>
      <c r="E27" s="27" t="str">
        <f>IFERROR(__xludf.DUMMYFUNCTION("""COMPUTED_VALUE"""),"incest, beast, group sex")</f>
        <v>incest, beast, group sex</v>
      </c>
    </row>
    <row r="28">
      <c r="A28" s="27">
        <f>IFERROR(__xludf.DUMMYFUNCTION("""COMPUTED_VALUE"""),502.0)</f>
        <v>502</v>
      </c>
      <c r="B28" s="51">
        <f>IFERROR(__xludf.DUMMYFUNCTION("""COMPUTED_VALUE"""),45298.0)</f>
        <v>45298</v>
      </c>
      <c r="C28" s="27" t="str">
        <f>IFERROR(__xludf.DUMMYFUNCTION("""COMPUTED_VALUE"""),"Custom: Extreme Wife Accomplice w/Beast")</f>
        <v>Custom: Extreme Wife Accomplice w/Beast</v>
      </c>
      <c r="D28" s="27" t="str">
        <f>IFERROR(__xludf.DUMMYFUNCTION("""COMPUTED_VALUE"""),"Extreme beast role-play where I role-play as your wife that helps satisfy one of your super depraved fantasies. ")</f>
        <v>Extreme beast role-play where I role-play as your wife that helps satisfy one of your super depraved fantasies. </v>
      </c>
      <c r="E28" s="27" t="str">
        <f>IFERROR(__xludf.DUMMYFUNCTION("""COMPUTED_VALUE"""),"EXTREME, beast, snuff, necro, accomplice, brief scat mention")</f>
        <v>EXTREME, beast, snuff, necro, accomplice, brief scat mention</v>
      </c>
    </row>
    <row r="29">
      <c r="A29" s="27">
        <f>IFERROR(__xludf.DUMMYFUNCTION("""COMPUTED_VALUE"""),526.0)</f>
        <v>526</v>
      </c>
      <c r="B29" s="51">
        <f>IFERROR(__xludf.DUMMYFUNCTION("""COMPUTED_VALUE"""),45330.0)</f>
        <v>45330</v>
      </c>
      <c r="C29" s="27" t="str">
        <f>IFERROR(__xludf.DUMMYFUNCTION("""COMPUTED_VALUE"""),"Improv: Birth of a P Mom")</f>
        <v>Improv: Birth of a P Mom</v>
      </c>
      <c r="D29" s="27" t="str">
        <f>IFERROR(__xludf.DUMMYFUNCTION("""COMPUTED_VALUE"""),"A mother finds something disturbing in her son’s room which starts even more disturbing yet horny thoughts in her own mind. ")</f>
        <v>A mother finds something disturbing in her son’s room which starts even more disturbing yet horny thoughts in her own mind. </v>
      </c>
      <c r="E29" s="27" t="str">
        <f>IFERROR(__xludf.DUMMYFUNCTION("""COMPUTED_VALUE"""),"MDlb, MDlg, DDlb, beast, incest, watersports")</f>
        <v>MDlb, MDlg, DDlb, beast, incest, watersports</v>
      </c>
    </row>
    <row r="30">
      <c r="A30" s="27">
        <f>IFERROR(__xludf.DUMMYFUNCTION("""COMPUTED_VALUE"""),537.0)</f>
        <v>537</v>
      </c>
      <c r="B30" s="51">
        <f>IFERROR(__xludf.DUMMYFUNCTION("""COMPUTED_VALUE"""),45350.0)</f>
        <v>45350</v>
      </c>
      <c r="C30" s="27" t="str">
        <f>IFERROR(__xludf.DUMMYFUNCTION("""COMPUTED_VALUE"""),"Improv: Family Business")</f>
        <v>Improv: Family Business</v>
      </c>
      <c r="D30" s="27" t="str">
        <f>IFERROR(__xludf.DUMMYFUNCTION("""COMPUTED_VALUE"""),"I role-play as a mother to a family that does wild live streams in sneaky public places.")</f>
        <v>I role-play as a mother to a family that does wild live streams in sneaky public places.</v>
      </c>
      <c r="E30" s="27" t="str">
        <f>IFERROR(__xludf.DUMMYFUNCTION("""COMPUTED_VALUE"""),"incest, public sex, MDlb, MDlg, DDlg, DDlb, beast")</f>
        <v>incest, public sex, MDlb, MDlg, DDlg, DDlb, beast</v>
      </c>
    </row>
    <row r="31">
      <c r="A31" s="27">
        <f>IFERROR(__xludf.DUMMYFUNCTION("""COMPUTED_VALUE"""),540.0)</f>
        <v>540</v>
      </c>
      <c r="B31" s="51">
        <f>IFERROR(__xludf.DUMMYFUNCTION("""COMPUTED_VALUE"""),45353.0)</f>
        <v>45353</v>
      </c>
      <c r="C31" s="27" t="str">
        <f>IFERROR(__xludf.DUMMYFUNCTION("""COMPUTED_VALUE"""),"Silent Call: Trip to the Farm")</f>
        <v>Silent Call: Trip to the Farm</v>
      </c>
      <c r="D31" s="27" t="str">
        <f>IFERROR(__xludf.DUMMYFUNCTION("""COMPUTED_VALUE"""),"Your teacher holds you back at the farm field trip to meet the owners of the farm…and their dog. ")</f>
        <v>Your teacher holds you back at the farm field trip to meet the owners of the farm…and their dog. </v>
      </c>
      <c r="E31" s="27" t="str">
        <f>IFERROR(__xludf.DUMMYFUNCTION("""COMPUTED_VALUE"""),"beast/boy, forced bi, noncon, watersports")</f>
        <v>beast/boy, forced bi, noncon, watersports</v>
      </c>
    </row>
    <row r="32">
      <c r="A32" s="27">
        <f>IFERROR(__xludf.DUMMYFUNCTION("""COMPUTED_VALUE"""),578.0)</f>
        <v>578</v>
      </c>
      <c r="B32" s="51">
        <f>IFERROR(__xludf.DUMMYFUNCTION("""COMPUTED_VALUE"""),45390.0)</f>
        <v>45390</v>
      </c>
      <c r="C32" s="27" t="str">
        <f>IFERROR(__xludf.DUMMYFUNCTION("""COMPUTED_VALUE"""),"Scripts: Aaron Kasmov Script Showcase")</f>
        <v>Scripts: Aaron Kasmov Script Showcase</v>
      </c>
      <c r="D32" s="27" t="str">
        <f>IFERROR(__xludf.DUMMYFUNCTION("""COMPUTED_VALUE"""),"This file contains 8 short scripts written by Aaron Kasmov. Please enjoy the depravity. ")</f>
        <v>This file contains 8 short scripts written by Aaron Kasmov. Please enjoy the depravity. </v>
      </c>
      <c r="E32" s="27" t="str">
        <f>IFERROR(__xludf.DUMMYFUNCTION("""COMPUTED_VALUE"""),"beastiality, bad mom, MDlb, gangbang, brothel")</f>
        <v>beastiality, bad mom, MDlb, gangbang, brothel</v>
      </c>
    </row>
    <row r="33">
      <c r="A33" s="27">
        <f>IFERROR(__xludf.DUMMYFUNCTION("""COMPUTED_VALUE"""),644.0)</f>
        <v>644</v>
      </c>
      <c r="B33" s="51">
        <f>IFERROR(__xludf.DUMMYFUNCTION("""COMPUTED_VALUE"""),45491.0)</f>
        <v>45491</v>
      </c>
      <c r="C33" s="27" t="str">
        <f>IFERROR(__xludf.DUMMYFUNCTION("""COMPUTED_VALUE"""),"Birth of a P Mom Pt 2")</f>
        <v>Birth of a P Mom Pt 2</v>
      </c>
      <c r="D33" s="27" t="str">
        <f>IFERROR(__xludf.DUMMYFUNCTION("""COMPUTED_VALUE"""),"The newly formed perv mom expresses her love of perversions and love of her son and plans for the future. ")</f>
        <v>The newly formed perv mom expresses her love of perversions and love of her son and plans for the future. </v>
      </c>
      <c r="E33" s="27" t="str">
        <f>IFERROR(__xludf.DUMMYFUNCTION("""COMPUTED_VALUE"""),"incest, sibling, MDlb, MDlg, beast, misogyny")</f>
        <v>incest, sibling, MDlb, MDlg, beast, misogyny</v>
      </c>
    </row>
    <row r="34">
      <c r="A34" s="27">
        <f>IFERROR(__xludf.DUMMYFUNCTION("""COMPUTED_VALUE"""),672.0)</f>
        <v>672</v>
      </c>
      <c r="B34" s="51">
        <f>IFERROR(__xludf.DUMMYFUNCTION("""COMPUTED_VALUE"""),45547.0)</f>
        <v>45547</v>
      </c>
      <c r="C34" s="27" t="str">
        <f>IFERROR(__xludf.DUMMYFUNCTION("""COMPUTED_VALUE"""),"Beast Whore")</f>
        <v>Beast Whore</v>
      </c>
      <c r="D34" s="27" t="str">
        <f>IFERROR(__xludf.DUMMYFUNCTION("""COMPUTED_VALUE"""),"I confess my love for beast porn and then you hear me making it real life. ")</f>
        <v>I confess my love for beast porn and then you hear me making it real life. </v>
      </c>
      <c r="E34" s="27" t="str">
        <f>IFERROR(__xludf.DUMMYFUNCTION("""COMPUTED_VALUE"""),"beast, breeding, oral, handjob, bark/oink/neigh, creampie")</f>
        <v>beast, breeding, oral, handjob, bark/oink/neigh, creampie</v>
      </c>
    </row>
    <row r="35">
      <c r="A35" s="27">
        <f>IFERROR(__xludf.DUMMYFUNCTION("""COMPUTED_VALUE"""),674.0)</f>
        <v>674</v>
      </c>
      <c r="B35" s="51">
        <f>IFERROR(__xludf.DUMMYFUNCTION("""COMPUTED_VALUE"""),45552.0)</f>
        <v>45552</v>
      </c>
      <c r="C35" s="27" t="str">
        <f>IFERROR(__xludf.DUMMYFUNCTION("""COMPUTED_VALUE"""),"Pervy Family Streaming Pt 2")</f>
        <v>Pervy Family Streaming Pt 2</v>
      </c>
      <c r="D35" s="27" t="str">
        <f>IFERROR(__xludf.DUMMYFUNCTION("""COMPUTED_VALUE"""),"A mom live streams her family's vacation, chock full of perversions and exhibitionism. ")</f>
        <v>A mom live streams her family's vacation, chock full of perversions and exhibitionism. </v>
      </c>
      <c r="E35" s="27" t="str">
        <f>IFERROR(__xludf.DUMMYFUNCTION("""COMPUTED_VALUE"""),"incest, beast, encouraged bi, public play, watersports, bbc")</f>
        <v>incest, beast, encouraged bi, public play, watersports, bbc</v>
      </c>
    </row>
    <row r="36">
      <c r="A36" s="27"/>
      <c r="B36" s="52"/>
      <c r="C36" s="27"/>
      <c r="D36" s="27"/>
      <c r="E36" s="27"/>
    </row>
    <row r="37">
      <c r="A37" s="27"/>
      <c r="B37" s="52"/>
      <c r="C37" s="27"/>
      <c r="D37" s="27"/>
      <c r="E37" s="27"/>
    </row>
    <row r="38">
      <c r="A38" s="27"/>
      <c r="B38" s="52"/>
      <c r="C38" s="27"/>
      <c r="D38" s="27"/>
      <c r="E38" s="27"/>
    </row>
    <row r="39">
      <c r="A39" s="27"/>
      <c r="B39" s="52"/>
      <c r="C39" s="27"/>
      <c r="D39" s="27"/>
      <c r="E39" s="27"/>
    </row>
    <row r="40">
      <c r="A40" s="27"/>
      <c r="B40" s="52"/>
      <c r="C40" s="27"/>
      <c r="D40" s="27"/>
      <c r="E40" s="27"/>
    </row>
    <row r="41">
      <c r="A41" s="27"/>
      <c r="B41" s="52"/>
      <c r="C41" s="27"/>
      <c r="D41" s="27"/>
      <c r="E41" s="27"/>
    </row>
    <row r="42">
      <c r="A42" s="27"/>
      <c r="B42" s="52"/>
      <c r="C42" s="27"/>
      <c r="D42" s="27"/>
      <c r="E42" s="27"/>
    </row>
    <row r="43">
      <c r="A43" s="27"/>
      <c r="B43" s="52"/>
      <c r="C43" s="27"/>
      <c r="D43" s="27"/>
      <c r="E43" s="27"/>
    </row>
    <row r="44">
      <c r="A44" s="27"/>
      <c r="B44" s="52"/>
      <c r="C44" s="27"/>
      <c r="D44" s="27"/>
      <c r="E44" s="27"/>
    </row>
    <row r="45">
      <c r="A45" s="27"/>
      <c r="B45" s="52"/>
      <c r="C45" s="27"/>
      <c r="D45" s="27"/>
      <c r="E45" s="27"/>
    </row>
    <row r="46">
      <c r="A46" s="27"/>
      <c r="B46" s="52"/>
      <c r="C46" s="27"/>
      <c r="D46" s="27"/>
      <c r="E46" s="27"/>
    </row>
    <row r="47">
      <c r="A47" s="27"/>
      <c r="B47" s="52"/>
      <c r="C47" s="27"/>
      <c r="D47" s="27"/>
      <c r="E47" s="27"/>
    </row>
    <row r="48">
      <c r="A48" s="27"/>
      <c r="B48" s="52"/>
      <c r="C48" s="27"/>
      <c r="D48" s="27"/>
      <c r="E48" s="27"/>
    </row>
    <row r="49">
      <c r="A49" s="27"/>
      <c r="B49" s="52"/>
      <c r="C49" s="27"/>
      <c r="D49" s="27"/>
      <c r="E49" s="27"/>
    </row>
    <row r="50">
      <c r="A50" s="27"/>
      <c r="B50" s="52"/>
      <c r="C50" s="27"/>
      <c r="D50" s="27"/>
      <c r="E50" s="27"/>
    </row>
    <row r="51">
      <c r="A51" s="27"/>
      <c r="B51" s="52"/>
      <c r="C51" s="27"/>
      <c r="D51" s="27"/>
      <c r="E51" s="27"/>
    </row>
    <row r="52">
      <c r="A52" s="27"/>
      <c r="B52" s="52"/>
      <c r="C52" s="27"/>
      <c r="D52" s="27"/>
      <c r="E52" s="27"/>
    </row>
    <row r="53">
      <c r="A53" s="27"/>
      <c r="B53" s="52"/>
      <c r="C53" s="27"/>
      <c r="D53" s="27"/>
      <c r="E53" s="27"/>
    </row>
    <row r="54">
      <c r="A54" s="27"/>
      <c r="B54" s="52"/>
      <c r="C54" s="27"/>
      <c r="D54" s="27"/>
      <c r="E54" s="27"/>
    </row>
    <row r="55">
      <c r="A55" s="27"/>
      <c r="B55" s="52"/>
      <c r="C55" s="27"/>
      <c r="D55" s="27"/>
      <c r="E55" s="27"/>
    </row>
    <row r="56">
      <c r="A56" s="27"/>
      <c r="B56" s="52"/>
      <c r="C56" s="27"/>
      <c r="D56" s="27"/>
      <c r="E56" s="27"/>
    </row>
    <row r="57">
      <c r="A57" s="27"/>
      <c r="B57" s="52"/>
      <c r="C57" s="27"/>
      <c r="D57" s="27"/>
      <c r="E57" s="27"/>
    </row>
    <row r="58">
      <c r="A58" s="27"/>
      <c r="B58" s="52"/>
      <c r="C58" s="27"/>
      <c r="D58" s="27"/>
      <c r="E58" s="27"/>
    </row>
    <row r="59">
      <c r="A59" s="27"/>
      <c r="B59" s="52"/>
      <c r="C59" s="27"/>
      <c r="D59" s="27"/>
      <c r="E59" s="27"/>
    </row>
    <row r="60">
      <c r="A60" s="27"/>
      <c r="B60" s="52"/>
      <c r="C60" s="27"/>
      <c r="D60" s="27"/>
      <c r="E60" s="27"/>
    </row>
    <row r="61">
      <c r="A61" s="27"/>
      <c r="B61" s="52"/>
      <c r="C61" s="27"/>
      <c r="D61" s="27"/>
      <c r="E61" s="27"/>
    </row>
    <row r="62">
      <c r="A62" s="27"/>
      <c r="B62" s="52"/>
      <c r="C62" s="27"/>
      <c r="D62" s="27"/>
      <c r="E62" s="27"/>
    </row>
    <row r="63">
      <c r="A63" s="27"/>
      <c r="B63" s="52"/>
      <c r="C63" s="27"/>
      <c r="D63" s="27"/>
      <c r="E63" s="27"/>
    </row>
    <row r="64">
      <c r="A64" s="27"/>
      <c r="B64" s="52"/>
      <c r="C64" s="27"/>
      <c r="D64" s="27"/>
      <c r="E64" s="27"/>
    </row>
    <row r="65">
      <c r="A65" s="27"/>
      <c r="B65" s="52"/>
      <c r="C65" s="27"/>
      <c r="D65" s="27"/>
      <c r="E65" s="27"/>
    </row>
    <row r="66">
      <c r="A66" s="27"/>
      <c r="B66" s="52"/>
      <c r="C66" s="27"/>
      <c r="D66" s="27"/>
      <c r="E66" s="27"/>
    </row>
    <row r="67">
      <c r="A67" s="27"/>
      <c r="B67" s="52"/>
      <c r="C67" s="27"/>
      <c r="D67" s="27"/>
      <c r="E67" s="27"/>
    </row>
    <row r="68">
      <c r="A68" s="27"/>
      <c r="B68" s="52"/>
      <c r="C68" s="27"/>
      <c r="D68" s="27"/>
      <c r="E68" s="27"/>
    </row>
    <row r="69">
      <c r="A69" s="27"/>
      <c r="B69" s="52"/>
      <c r="C69" s="27"/>
      <c r="D69" s="27"/>
      <c r="E69" s="27"/>
    </row>
    <row r="70">
      <c r="A70" s="27"/>
      <c r="B70" s="52"/>
      <c r="C70" s="27"/>
      <c r="D70" s="27"/>
      <c r="E70" s="27"/>
    </row>
    <row r="71">
      <c r="A71" s="27"/>
      <c r="B71" s="52"/>
      <c r="C71" s="27"/>
      <c r="D71" s="27"/>
      <c r="E71" s="27"/>
    </row>
    <row r="72">
      <c r="A72" s="27"/>
      <c r="B72" s="52"/>
      <c r="C72" s="27"/>
      <c r="D72" s="27"/>
      <c r="E72" s="27"/>
    </row>
    <row r="73">
      <c r="A73" s="27"/>
      <c r="B73" s="52"/>
      <c r="C73" s="27"/>
      <c r="D73" s="27"/>
      <c r="E73" s="27"/>
    </row>
    <row r="74">
      <c r="A74" s="27"/>
      <c r="B74" s="52"/>
      <c r="C74" s="27"/>
      <c r="D74" s="27"/>
      <c r="E74" s="27"/>
    </row>
    <row r="75">
      <c r="A75" s="27"/>
      <c r="B75" s="52"/>
      <c r="C75" s="27"/>
      <c r="D75" s="27"/>
      <c r="E75" s="27"/>
    </row>
    <row r="76">
      <c r="A76" s="27"/>
      <c r="B76" s="52"/>
      <c r="C76" s="27"/>
      <c r="D76" s="27"/>
      <c r="E76" s="27"/>
    </row>
    <row r="77">
      <c r="A77" s="27"/>
      <c r="B77" s="52"/>
      <c r="C77" s="27"/>
      <c r="D77" s="27"/>
      <c r="E77" s="27"/>
    </row>
    <row r="78">
      <c r="A78" s="27"/>
      <c r="B78" s="52"/>
      <c r="C78" s="27"/>
      <c r="D78" s="27"/>
      <c r="E78" s="27"/>
    </row>
    <row r="79">
      <c r="A79" s="27"/>
      <c r="B79" s="52"/>
      <c r="C79" s="27"/>
      <c r="D79" s="27"/>
      <c r="E79" s="27"/>
    </row>
    <row r="80">
      <c r="A80" s="27"/>
      <c r="B80" s="52"/>
      <c r="C80" s="27"/>
      <c r="D80" s="27"/>
      <c r="E80" s="27"/>
    </row>
    <row r="81">
      <c r="A81" s="27"/>
      <c r="B81" s="52"/>
      <c r="C81" s="27"/>
      <c r="D81" s="27"/>
      <c r="E81" s="27"/>
    </row>
    <row r="82">
      <c r="A82" s="27"/>
      <c r="B82" s="52"/>
      <c r="C82" s="27"/>
      <c r="D82" s="27"/>
      <c r="E82" s="27"/>
    </row>
    <row r="83">
      <c r="A83" s="27"/>
      <c r="B83" s="52"/>
      <c r="C83" s="27"/>
      <c r="D83" s="27"/>
      <c r="E83" s="27"/>
    </row>
    <row r="84">
      <c r="A84" s="27"/>
      <c r="B84" s="52"/>
      <c r="C84" s="27"/>
      <c r="D84" s="27"/>
      <c r="E84" s="27"/>
    </row>
    <row r="85">
      <c r="A85" s="27"/>
      <c r="B85" s="52"/>
      <c r="C85" s="27"/>
      <c r="D85" s="27"/>
      <c r="E85" s="27"/>
    </row>
    <row r="86">
      <c r="A86" s="27"/>
      <c r="B86" s="52"/>
      <c r="C86" s="27"/>
      <c r="D86" s="27"/>
      <c r="E86" s="27"/>
    </row>
    <row r="87">
      <c r="A87" s="27"/>
      <c r="B87" s="52"/>
      <c r="C87" s="27"/>
      <c r="D87" s="27"/>
      <c r="E87" s="27"/>
    </row>
    <row r="88">
      <c r="A88" s="27"/>
      <c r="B88" s="52"/>
      <c r="C88" s="27"/>
      <c r="D88" s="27"/>
      <c r="E88" s="27"/>
    </row>
    <row r="89">
      <c r="A89" s="27"/>
      <c r="B89" s="52"/>
      <c r="C89" s="27"/>
      <c r="D89" s="27"/>
      <c r="E89" s="27"/>
    </row>
    <row r="90">
      <c r="A90" s="27"/>
      <c r="B90" s="52"/>
      <c r="C90" s="27"/>
      <c r="D90" s="27"/>
      <c r="E90" s="27"/>
    </row>
    <row r="91">
      <c r="A91" s="27"/>
      <c r="B91" s="52"/>
      <c r="C91" s="27"/>
      <c r="D91" s="27"/>
      <c r="E91" s="27"/>
    </row>
    <row r="92">
      <c r="A92" s="27"/>
      <c r="B92" s="52"/>
      <c r="C92" s="27"/>
      <c r="D92" s="27"/>
      <c r="E92" s="27"/>
    </row>
    <row r="93">
      <c r="A93" s="27"/>
      <c r="B93" s="52"/>
      <c r="C93" s="27"/>
      <c r="D93" s="27"/>
      <c r="E93" s="27"/>
    </row>
    <row r="94">
      <c r="A94" s="27"/>
      <c r="B94" s="52"/>
      <c r="C94" s="27"/>
      <c r="D94" s="27"/>
      <c r="E94" s="27"/>
    </row>
    <row r="95">
      <c r="A95" s="27"/>
      <c r="B95" s="52"/>
      <c r="C95" s="27"/>
      <c r="D95" s="27"/>
      <c r="E95" s="27"/>
    </row>
    <row r="96">
      <c r="A96" s="27"/>
      <c r="B96" s="52"/>
      <c r="C96" s="27"/>
      <c r="D96" s="27"/>
      <c r="E96" s="27"/>
    </row>
    <row r="97">
      <c r="A97" s="27"/>
      <c r="B97" s="52"/>
      <c r="C97" s="27"/>
      <c r="D97" s="27"/>
      <c r="E97" s="27"/>
    </row>
    <row r="98">
      <c r="A98" s="27"/>
      <c r="B98" s="52"/>
      <c r="C98" s="27"/>
      <c r="D98" s="27"/>
      <c r="E98" s="27"/>
    </row>
    <row r="99">
      <c r="A99" s="27"/>
      <c r="B99" s="52"/>
      <c r="C99" s="27"/>
      <c r="D99" s="27"/>
      <c r="E99" s="27"/>
    </row>
    <row r="100">
      <c r="A100" s="27"/>
      <c r="B100" s="52"/>
      <c r="C100" s="27"/>
      <c r="D100" s="27"/>
      <c r="E100" s="27"/>
    </row>
    <row r="101">
      <c r="A101" s="27"/>
      <c r="B101" s="52"/>
      <c r="C101" s="27"/>
      <c r="D101" s="27"/>
      <c r="E101" s="27"/>
    </row>
    <row r="102">
      <c r="A102" s="27"/>
      <c r="B102" s="52"/>
      <c r="C102" s="27"/>
      <c r="D102" s="27"/>
      <c r="E102" s="27"/>
    </row>
    <row r="103">
      <c r="A103" s="27"/>
      <c r="B103" s="52"/>
      <c r="C103" s="27"/>
      <c r="D103" s="27"/>
      <c r="E103" s="27"/>
    </row>
    <row r="104">
      <c r="A104" s="27"/>
      <c r="B104" s="52"/>
      <c r="C104" s="27"/>
      <c r="D104" s="27"/>
      <c r="E104" s="27"/>
    </row>
    <row r="105">
      <c r="A105" s="27"/>
      <c r="B105" s="52"/>
      <c r="C105" s="27"/>
      <c r="D105" s="27"/>
      <c r="E105" s="27"/>
    </row>
    <row r="106">
      <c r="A106" s="27"/>
      <c r="B106" s="52"/>
      <c r="C106" s="27"/>
      <c r="D106" s="27"/>
      <c r="E106" s="27"/>
    </row>
    <row r="107">
      <c r="A107" s="27"/>
      <c r="B107" s="52"/>
      <c r="C107" s="27"/>
      <c r="D107" s="27"/>
      <c r="E107" s="27"/>
    </row>
    <row r="108">
      <c r="A108" s="27"/>
      <c r="B108" s="52"/>
      <c r="C108" s="27"/>
      <c r="D108" s="27"/>
      <c r="E108" s="27"/>
    </row>
    <row r="109">
      <c r="A109" s="27"/>
      <c r="B109" s="52"/>
      <c r="C109" s="27"/>
      <c r="D109" s="27"/>
      <c r="E109" s="27"/>
    </row>
    <row r="110">
      <c r="A110" s="27"/>
      <c r="B110" s="52"/>
      <c r="C110" s="27"/>
      <c r="D110" s="27"/>
      <c r="E110" s="27"/>
    </row>
    <row r="111">
      <c r="A111" s="27"/>
      <c r="B111" s="52"/>
      <c r="C111" s="27"/>
      <c r="D111" s="27"/>
      <c r="E111" s="27"/>
    </row>
    <row r="112">
      <c r="A112" s="27"/>
      <c r="B112" s="52"/>
      <c r="C112" s="27"/>
      <c r="D112" s="27"/>
      <c r="E112" s="27"/>
    </row>
    <row r="113">
      <c r="A113" s="27"/>
      <c r="B113" s="52"/>
      <c r="C113" s="27"/>
      <c r="D113" s="27"/>
      <c r="E113" s="27"/>
    </row>
    <row r="114">
      <c r="A114" s="27"/>
      <c r="B114" s="52"/>
      <c r="C114" s="27"/>
      <c r="D114" s="27"/>
      <c r="E114" s="27"/>
    </row>
    <row r="115">
      <c r="A115" s="27"/>
      <c r="B115" s="52"/>
      <c r="C115" s="27"/>
      <c r="D115" s="27"/>
      <c r="E115" s="27"/>
    </row>
    <row r="116">
      <c r="A116" s="27"/>
      <c r="B116" s="52"/>
      <c r="C116" s="27"/>
      <c r="D116" s="27"/>
      <c r="E116" s="27"/>
    </row>
    <row r="117">
      <c r="A117" s="27"/>
      <c r="B117" s="52"/>
      <c r="C117" s="27"/>
      <c r="D117" s="27"/>
      <c r="E117" s="27"/>
    </row>
    <row r="118">
      <c r="A118" s="27"/>
      <c r="B118" s="52"/>
      <c r="C118" s="27"/>
      <c r="D118" s="27"/>
      <c r="E118" s="27"/>
    </row>
    <row r="119">
      <c r="A119" s="27"/>
      <c r="B119" s="52"/>
      <c r="C119" s="27"/>
      <c r="D119" s="27"/>
      <c r="E119" s="27"/>
    </row>
    <row r="120">
      <c r="A120" s="27"/>
      <c r="B120" s="52"/>
      <c r="C120" s="27"/>
      <c r="D120" s="27"/>
      <c r="E120" s="27"/>
    </row>
    <row r="121">
      <c r="A121" s="27"/>
      <c r="B121" s="52"/>
      <c r="C121" s="27"/>
      <c r="D121" s="27"/>
      <c r="E121" s="27"/>
    </row>
    <row r="122">
      <c r="A122" s="27"/>
      <c r="B122" s="52"/>
      <c r="C122" s="27"/>
      <c r="D122" s="27"/>
      <c r="E122" s="27"/>
    </row>
    <row r="123">
      <c r="A123" s="27"/>
      <c r="B123" s="52"/>
      <c r="C123" s="27"/>
      <c r="D123" s="27"/>
      <c r="E123" s="27"/>
    </row>
    <row r="124">
      <c r="A124" s="27"/>
      <c r="B124" s="52"/>
      <c r="C124" s="27"/>
      <c r="D124" s="27"/>
      <c r="E124" s="27"/>
    </row>
    <row r="125">
      <c r="A125" s="27"/>
      <c r="B125" s="52"/>
      <c r="C125" s="27"/>
      <c r="D125" s="27"/>
      <c r="E125" s="27"/>
    </row>
    <row r="126">
      <c r="A126" s="27"/>
      <c r="B126" s="52"/>
      <c r="C126" s="27"/>
      <c r="D126" s="27"/>
      <c r="E126" s="27"/>
    </row>
    <row r="127">
      <c r="A127" s="27"/>
      <c r="B127" s="52"/>
      <c r="C127" s="27"/>
      <c r="D127" s="27"/>
      <c r="E127" s="27"/>
    </row>
    <row r="128">
      <c r="A128" s="27"/>
      <c r="B128" s="52"/>
      <c r="C128" s="27"/>
      <c r="D128" s="27"/>
      <c r="E128" s="27"/>
    </row>
    <row r="129">
      <c r="A129" s="27"/>
      <c r="B129" s="52"/>
      <c r="C129" s="27"/>
      <c r="D129" s="27"/>
      <c r="E129" s="27"/>
    </row>
    <row r="130">
      <c r="A130" s="27"/>
      <c r="B130" s="52"/>
      <c r="C130" s="27"/>
      <c r="D130" s="27"/>
      <c r="E130" s="27"/>
    </row>
    <row r="131">
      <c r="A131" s="27"/>
      <c r="B131" s="52"/>
      <c r="C131" s="27"/>
      <c r="D131" s="27"/>
      <c r="E131" s="27"/>
    </row>
    <row r="132">
      <c r="A132" s="27"/>
      <c r="B132" s="52"/>
      <c r="C132" s="27"/>
      <c r="D132" s="27"/>
      <c r="E132" s="27"/>
    </row>
    <row r="133">
      <c r="A133" s="27"/>
      <c r="B133" s="52"/>
      <c r="C133" s="27"/>
      <c r="D133" s="27"/>
      <c r="E133" s="27"/>
    </row>
    <row r="134">
      <c r="A134" s="27"/>
      <c r="B134" s="52"/>
      <c r="C134" s="27"/>
      <c r="D134" s="27"/>
      <c r="E134" s="27"/>
    </row>
    <row r="135">
      <c r="A135" s="27"/>
      <c r="B135" s="52"/>
      <c r="C135" s="27"/>
      <c r="D135" s="27"/>
      <c r="E135" s="27"/>
    </row>
    <row r="136">
      <c r="A136" s="27"/>
      <c r="B136" s="52"/>
      <c r="C136" s="27"/>
      <c r="D136" s="27"/>
      <c r="E136" s="27"/>
    </row>
    <row r="137">
      <c r="A137" s="27"/>
      <c r="B137" s="52"/>
      <c r="C137" s="27"/>
      <c r="D137" s="27"/>
      <c r="E137" s="27"/>
    </row>
    <row r="138">
      <c r="A138" s="27"/>
      <c r="B138" s="52"/>
      <c r="C138" s="27"/>
      <c r="D138" s="27"/>
      <c r="E138" s="27"/>
    </row>
    <row r="139">
      <c r="A139" s="27"/>
      <c r="B139" s="52"/>
      <c r="C139" s="27"/>
      <c r="D139" s="27"/>
      <c r="E139" s="27"/>
    </row>
    <row r="140">
      <c r="A140" s="27"/>
      <c r="B140" s="52"/>
      <c r="C140" s="27"/>
      <c r="D140" s="27"/>
      <c r="E140" s="27"/>
    </row>
    <row r="141">
      <c r="A141" s="27"/>
      <c r="B141" s="52"/>
      <c r="C141" s="27"/>
      <c r="D141" s="27"/>
      <c r="E141" s="27"/>
    </row>
    <row r="142">
      <c r="A142" s="27"/>
      <c r="B142" s="52"/>
      <c r="C142" s="27"/>
      <c r="D142" s="27"/>
      <c r="E142" s="27"/>
    </row>
    <row r="143">
      <c r="A143" s="27"/>
      <c r="B143" s="52"/>
      <c r="C143" s="27"/>
      <c r="D143" s="27"/>
      <c r="E143" s="27"/>
    </row>
    <row r="144">
      <c r="A144" s="27"/>
      <c r="B144" s="52"/>
      <c r="C144" s="27"/>
      <c r="D144" s="27"/>
      <c r="E144" s="27"/>
    </row>
    <row r="145">
      <c r="A145" s="27"/>
      <c r="B145" s="52"/>
      <c r="C145" s="27"/>
      <c r="D145" s="27"/>
      <c r="E145" s="27"/>
    </row>
    <row r="146">
      <c r="A146" s="27"/>
      <c r="B146" s="52"/>
      <c r="C146" s="27"/>
      <c r="D146" s="27"/>
      <c r="E146" s="27"/>
    </row>
    <row r="147">
      <c r="A147" s="27"/>
      <c r="B147" s="52"/>
      <c r="C147" s="27"/>
      <c r="D147" s="27"/>
      <c r="E147" s="27"/>
    </row>
    <row r="148">
      <c r="A148" s="27"/>
      <c r="B148" s="52"/>
      <c r="C148" s="27"/>
      <c r="D148" s="27"/>
      <c r="E148" s="27"/>
    </row>
    <row r="149">
      <c r="A149" s="27"/>
      <c r="B149" s="52"/>
      <c r="C149" s="27"/>
      <c r="D149" s="27"/>
      <c r="E149" s="27"/>
    </row>
    <row r="150">
      <c r="A150" s="27"/>
      <c r="B150" s="52"/>
      <c r="C150" s="27"/>
      <c r="D150" s="27"/>
      <c r="E150" s="27"/>
    </row>
    <row r="151">
      <c r="A151" s="27"/>
      <c r="B151" s="52"/>
      <c r="C151" s="27"/>
      <c r="D151" s="27"/>
      <c r="E151" s="27"/>
    </row>
    <row r="152">
      <c r="A152" s="27"/>
      <c r="B152" s="52"/>
      <c r="C152" s="27"/>
      <c r="D152" s="27"/>
      <c r="E152" s="27"/>
    </row>
    <row r="153">
      <c r="A153" s="27"/>
      <c r="B153" s="52"/>
      <c r="C153" s="27"/>
      <c r="D153" s="27"/>
      <c r="E153" s="27"/>
    </row>
    <row r="154">
      <c r="A154" s="27"/>
      <c r="B154" s="52"/>
      <c r="C154" s="27"/>
      <c r="D154" s="27"/>
      <c r="E154" s="27"/>
    </row>
    <row r="155">
      <c r="A155" s="27"/>
      <c r="B155" s="52"/>
      <c r="C155" s="27"/>
      <c r="D155" s="27"/>
      <c r="E155" s="27"/>
    </row>
    <row r="156">
      <c r="A156" s="27"/>
      <c r="B156" s="52"/>
      <c r="C156" s="27"/>
      <c r="D156" s="27"/>
      <c r="E156" s="27"/>
    </row>
    <row r="157">
      <c r="A157" s="27"/>
      <c r="B157" s="52"/>
      <c r="C157" s="27"/>
      <c r="D157" s="27"/>
      <c r="E157" s="27"/>
    </row>
    <row r="158">
      <c r="A158" s="27"/>
      <c r="B158" s="52"/>
      <c r="C158" s="27"/>
      <c r="D158" s="27"/>
      <c r="E158" s="27"/>
    </row>
    <row r="159">
      <c r="A159" s="27"/>
      <c r="B159" s="52"/>
      <c r="C159" s="27"/>
      <c r="D159" s="27"/>
      <c r="E159" s="27"/>
    </row>
    <row r="160">
      <c r="A160" s="27"/>
      <c r="B160" s="52"/>
      <c r="C160" s="27"/>
      <c r="D160" s="27"/>
      <c r="E160" s="27"/>
    </row>
    <row r="161">
      <c r="A161" s="27"/>
      <c r="B161" s="52"/>
      <c r="C161" s="27"/>
      <c r="D161" s="27"/>
      <c r="E161" s="27"/>
    </row>
    <row r="162">
      <c r="A162" s="27"/>
      <c r="B162" s="52"/>
      <c r="C162" s="27"/>
      <c r="D162" s="27"/>
      <c r="E162" s="27"/>
    </row>
    <row r="163">
      <c r="A163" s="27"/>
      <c r="B163" s="52"/>
      <c r="C163" s="27"/>
      <c r="D163" s="27"/>
      <c r="E163" s="27"/>
    </row>
    <row r="164">
      <c r="A164" s="27"/>
      <c r="B164" s="52"/>
      <c r="C164" s="27"/>
      <c r="D164" s="27"/>
      <c r="E164" s="27"/>
    </row>
    <row r="165">
      <c r="A165" s="27"/>
      <c r="B165" s="52"/>
      <c r="C165" s="27"/>
      <c r="D165" s="27"/>
      <c r="E165" s="27"/>
    </row>
    <row r="166">
      <c r="A166" s="27"/>
      <c r="B166" s="52"/>
      <c r="C166" s="27"/>
      <c r="D166" s="27"/>
      <c r="E166" s="27"/>
    </row>
    <row r="167">
      <c r="A167" s="27"/>
      <c r="B167" s="52"/>
      <c r="C167" s="27"/>
      <c r="D167" s="27"/>
      <c r="E167" s="27"/>
    </row>
    <row r="168">
      <c r="A168" s="27"/>
      <c r="B168" s="52"/>
      <c r="C168" s="27"/>
      <c r="D168" s="27"/>
      <c r="E168" s="27"/>
    </row>
    <row r="169">
      <c r="A169" s="27"/>
      <c r="B169" s="52"/>
      <c r="C169" s="27"/>
      <c r="D169" s="27"/>
      <c r="E169" s="27"/>
    </row>
    <row r="170">
      <c r="A170" s="27"/>
      <c r="B170" s="52"/>
      <c r="C170" s="27"/>
      <c r="D170" s="27"/>
      <c r="E170" s="27"/>
    </row>
    <row r="171">
      <c r="A171" s="27"/>
      <c r="B171" s="52"/>
      <c r="C171" s="27"/>
      <c r="D171" s="27"/>
      <c r="E171" s="27"/>
    </row>
    <row r="172">
      <c r="A172" s="27"/>
      <c r="B172" s="52"/>
      <c r="C172" s="27"/>
      <c r="D172" s="27"/>
      <c r="E172" s="27"/>
    </row>
    <row r="173">
      <c r="A173" s="27"/>
      <c r="B173" s="52"/>
      <c r="C173" s="27"/>
      <c r="D173" s="27"/>
      <c r="E173" s="27"/>
    </row>
    <row r="174">
      <c r="A174" s="27"/>
      <c r="B174" s="52"/>
      <c r="C174" s="27"/>
      <c r="D174" s="27"/>
      <c r="E174" s="27"/>
    </row>
    <row r="175">
      <c r="A175" s="27"/>
      <c r="B175" s="52"/>
      <c r="C175" s="27"/>
      <c r="D175" s="27"/>
      <c r="E175" s="27"/>
    </row>
    <row r="176">
      <c r="A176" s="27"/>
      <c r="B176" s="52"/>
      <c r="C176" s="27"/>
      <c r="D176" s="27"/>
      <c r="E176" s="27"/>
    </row>
    <row r="177">
      <c r="A177" s="27"/>
      <c r="B177" s="52"/>
      <c r="C177" s="27"/>
      <c r="D177" s="27"/>
      <c r="E177" s="27"/>
    </row>
    <row r="178">
      <c r="A178" s="27"/>
      <c r="B178" s="52"/>
      <c r="C178" s="27"/>
      <c r="D178" s="27"/>
      <c r="E178" s="27"/>
    </row>
    <row r="179">
      <c r="A179" s="27"/>
      <c r="B179" s="52"/>
      <c r="C179" s="27"/>
      <c r="D179" s="27"/>
      <c r="E179" s="27"/>
    </row>
    <row r="180">
      <c r="A180" s="27"/>
      <c r="B180" s="52"/>
      <c r="C180" s="27"/>
      <c r="D180" s="27"/>
      <c r="E180" s="27"/>
    </row>
    <row r="181">
      <c r="A181" s="27"/>
      <c r="B181" s="52"/>
      <c r="C181" s="27"/>
      <c r="D181" s="27"/>
      <c r="E181" s="27"/>
    </row>
    <row r="182">
      <c r="A182" s="27"/>
      <c r="B182" s="52"/>
      <c r="C182" s="27"/>
      <c r="D182" s="27"/>
      <c r="E182" s="27"/>
    </row>
    <row r="183">
      <c r="A183" s="27"/>
      <c r="B183" s="52"/>
      <c r="C183" s="27"/>
      <c r="D183" s="27"/>
      <c r="E183" s="27"/>
    </row>
    <row r="184">
      <c r="A184" s="27"/>
      <c r="B184" s="52"/>
      <c r="C184" s="27"/>
      <c r="D184" s="27"/>
      <c r="E184" s="27"/>
    </row>
    <row r="185">
      <c r="A185" s="27"/>
      <c r="B185" s="52"/>
      <c r="C185" s="27"/>
      <c r="D185" s="27"/>
      <c r="E185" s="27"/>
    </row>
    <row r="186">
      <c r="A186" s="27"/>
      <c r="B186" s="52"/>
      <c r="C186" s="27"/>
      <c r="D186" s="27"/>
      <c r="E186" s="27"/>
    </row>
    <row r="187">
      <c r="A187" s="27"/>
      <c r="B187" s="52"/>
      <c r="C187" s="27"/>
      <c r="D187" s="27"/>
      <c r="E187" s="27"/>
    </row>
    <row r="188">
      <c r="A188" s="27"/>
      <c r="B188" s="52"/>
      <c r="C188" s="27"/>
      <c r="D188" s="27"/>
      <c r="E188" s="27"/>
    </row>
    <row r="189">
      <c r="A189" s="27"/>
      <c r="B189" s="52"/>
      <c r="C189" s="27"/>
      <c r="D189" s="27"/>
      <c r="E189" s="27"/>
    </row>
    <row r="190">
      <c r="A190" s="27"/>
      <c r="B190" s="52"/>
      <c r="C190" s="27"/>
      <c r="D190" s="27"/>
      <c r="E190" s="27"/>
    </row>
    <row r="191">
      <c r="A191" s="27"/>
      <c r="B191" s="52"/>
      <c r="C191" s="27"/>
      <c r="D191" s="27"/>
      <c r="E191" s="27"/>
    </row>
    <row r="192">
      <c r="A192" s="27"/>
      <c r="B192" s="52"/>
      <c r="C192" s="27"/>
      <c r="D192" s="27"/>
      <c r="E192" s="27"/>
    </row>
    <row r="193">
      <c r="A193" s="27"/>
      <c r="B193" s="52"/>
      <c r="C193" s="27"/>
      <c r="D193" s="27"/>
      <c r="E193" s="27"/>
    </row>
    <row r="194">
      <c r="A194" s="27"/>
      <c r="B194" s="52"/>
      <c r="C194" s="27"/>
      <c r="D194" s="27"/>
      <c r="E194" s="27"/>
    </row>
    <row r="195">
      <c r="A195" s="27"/>
      <c r="B195" s="52"/>
      <c r="C195" s="27"/>
      <c r="D195" s="27"/>
      <c r="E195" s="27"/>
    </row>
    <row r="196">
      <c r="A196" s="27"/>
      <c r="B196" s="52"/>
      <c r="C196" s="27"/>
      <c r="D196" s="27"/>
      <c r="E196" s="27"/>
    </row>
    <row r="197">
      <c r="A197" s="27"/>
      <c r="B197" s="52"/>
      <c r="C197" s="27"/>
      <c r="D197" s="27"/>
      <c r="E197" s="27"/>
    </row>
    <row r="198">
      <c r="A198" s="27"/>
      <c r="B198" s="52"/>
      <c r="C198" s="27"/>
      <c r="D198" s="27"/>
      <c r="E198" s="27"/>
    </row>
    <row r="199">
      <c r="A199" s="27"/>
      <c r="B199" s="52"/>
      <c r="C199" s="27"/>
      <c r="D199" s="27"/>
      <c r="E199" s="27"/>
    </row>
    <row r="200">
      <c r="A200" s="27"/>
      <c r="B200" s="52"/>
      <c r="C200" s="27"/>
      <c r="D200" s="27"/>
      <c r="E200" s="27"/>
    </row>
    <row r="201">
      <c r="A201" s="27"/>
      <c r="B201" s="52"/>
      <c r="C201" s="27"/>
      <c r="D201" s="27"/>
      <c r="E201" s="27"/>
    </row>
    <row r="202">
      <c r="A202" s="27"/>
      <c r="B202" s="52"/>
      <c r="C202" s="27"/>
      <c r="D202" s="27"/>
      <c r="E202" s="27"/>
    </row>
    <row r="203">
      <c r="A203" s="27"/>
      <c r="B203" s="52"/>
      <c r="C203" s="27"/>
      <c r="D203" s="27"/>
      <c r="E203" s="27"/>
    </row>
    <row r="204">
      <c r="A204" s="27"/>
      <c r="B204" s="52"/>
      <c r="C204" s="27"/>
      <c r="D204" s="27"/>
      <c r="E204" s="27"/>
    </row>
    <row r="205">
      <c r="A205" s="27"/>
      <c r="B205" s="52"/>
      <c r="C205" s="27"/>
      <c r="D205" s="27"/>
      <c r="E205" s="27"/>
    </row>
    <row r="206">
      <c r="A206" s="27"/>
      <c r="B206" s="52"/>
      <c r="C206" s="27"/>
      <c r="D206" s="27"/>
      <c r="E206" s="27"/>
    </row>
    <row r="207">
      <c r="A207" s="27"/>
      <c r="B207" s="52"/>
      <c r="C207" s="27"/>
      <c r="D207" s="27"/>
      <c r="E207" s="27"/>
    </row>
    <row r="208">
      <c r="A208" s="27"/>
      <c r="B208" s="52"/>
      <c r="C208" s="27"/>
      <c r="D208" s="27"/>
      <c r="E208" s="27"/>
    </row>
    <row r="209">
      <c r="A209" s="27"/>
      <c r="B209" s="52"/>
      <c r="C209" s="27"/>
      <c r="D209" s="27"/>
      <c r="E209" s="27"/>
    </row>
    <row r="210">
      <c r="A210" s="27"/>
      <c r="B210" s="52"/>
      <c r="C210" s="27"/>
      <c r="D210" s="27"/>
      <c r="E210" s="27"/>
    </row>
    <row r="211">
      <c r="A211" s="27"/>
      <c r="B211" s="52"/>
      <c r="C211" s="27"/>
      <c r="D211" s="27"/>
      <c r="E211" s="27"/>
    </row>
    <row r="212">
      <c r="A212" s="27"/>
      <c r="B212" s="52"/>
      <c r="C212" s="27"/>
      <c r="D212" s="27"/>
      <c r="E212" s="27"/>
    </row>
    <row r="213">
      <c r="A213" s="27"/>
      <c r="B213" s="52"/>
      <c r="C213" s="27"/>
      <c r="D213" s="27"/>
      <c r="E213" s="27"/>
    </row>
    <row r="214">
      <c r="A214" s="27"/>
      <c r="B214" s="52"/>
      <c r="C214" s="27"/>
      <c r="D214" s="27"/>
      <c r="E214" s="27"/>
    </row>
    <row r="215">
      <c r="A215" s="27"/>
      <c r="B215" s="52"/>
      <c r="C215" s="27"/>
      <c r="D215" s="27"/>
      <c r="E215" s="27"/>
    </row>
    <row r="216">
      <c r="A216" s="27"/>
      <c r="B216" s="52"/>
      <c r="C216" s="27"/>
      <c r="D216" s="27"/>
      <c r="E216" s="27"/>
    </row>
    <row r="217">
      <c r="A217" s="27"/>
      <c r="B217" s="52"/>
      <c r="C217" s="27"/>
      <c r="D217" s="27"/>
      <c r="E217" s="27"/>
    </row>
    <row r="218">
      <c r="A218" s="27"/>
      <c r="B218" s="52"/>
      <c r="C218" s="27"/>
      <c r="D218" s="27"/>
      <c r="E218" s="27"/>
    </row>
    <row r="219">
      <c r="A219" s="27"/>
      <c r="B219" s="52"/>
      <c r="C219" s="27"/>
      <c r="D219" s="27"/>
      <c r="E219" s="27"/>
    </row>
    <row r="220">
      <c r="A220" s="27"/>
      <c r="B220" s="52"/>
      <c r="C220" s="27"/>
      <c r="D220" s="27"/>
      <c r="E220" s="27"/>
    </row>
    <row r="221">
      <c r="A221" s="27"/>
      <c r="B221" s="52"/>
      <c r="C221" s="27"/>
      <c r="D221" s="27"/>
      <c r="E221" s="27"/>
    </row>
    <row r="222">
      <c r="A222" s="27"/>
      <c r="B222" s="52"/>
      <c r="C222" s="27"/>
      <c r="D222" s="27"/>
      <c r="E222" s="27"/>
    </row>
    <row r="223">
      <c r="A223" s="27"/>
      <c r="B223" s="52"/>
      <c r="C223" s="27"/>
      <c r="D223" s="27"/>
      <c r="E223" s="27"/>
    </row>
    <row r="224">
      <c r="A224" s="27"/>
      <c r="B224" s="52"/>
      <c r="C224" s="27"/>
      <c r="D224" s="27"/>
      <c r="E224" s="27"/>
    </row>
    <row r="225">
      <c r="A225" s="27"/>
      <c r="B225" s="52"/>
      <c r="C225" s="27"/>
      <c r="D225" s="27"/>
      <c r="E225" s="27"/>
    </row>
    <row r="226">
      <c r="A226" s="27"/>
      <c r="B226" s="52"/>
      <c r="C226" s="27"/>
      <c r="D226" s="27"/>
      <c r="E226" s="27"/>
    </row>
    <row r="227">
      <c r="A227" s="27"/>
      <c r="B227" s="52"/>
      <c r="C227" s="27"/>
      <c r="D227" s="27"/>
      <c r="E227" s="27"/>
    </row>
    <row r="228">
      <c r="A228" s="27"/>
      <c r="B228" s="52"/>
      <c r="C228" s="27"/>
      <c r="D228" s="27"/>
      <c r="E228" s="27"/>
    </row>
    <row r="229">
      <c r="A229" s="27"/>
      <c r="B229" s="52"/>
      <c r="C229" s="27"/>
      <c r="D229" s="27"/>
      <c r="E229" s="27"/>
    </row>
    <row r="230">
      <c r="A230" s="27"/>
      <c r="B230" s="52"/>
      <c r="C230" s="27"/>
      <c r="D230" s="27"/>
      <c r="E230" s="27"/>
    </row>
    <row r="231">
      <c r="A231" s="27"/>
      <c r="B231" s="52"/>
      <c r="C231" s="27"/>
      <c r="D231" s="27"/>
      <c r="E231" s="27"/>
    </row>
    <row r="232">
      <c r="A232" s="27"/>
      <c r="B232" s="52"/>
      <c r="C232" s="27"/>
      <c r="D232" s="27"/>
      <c r="E232" s="27"/>
    </row>
    <row r="233">
      <c r="A233" s="27"/>
      <c r="B233" s="52"/>
      <c r="C233" s="27"/>
      <c r="D233" s="27"/>
      <c r="E233" s="27"/>
    </row>
    <row r="234">
      <c r="A234" s="27"/>
      <c r="B234" s="52"/>
      <c r="C234" s="27"/>
      <c r="D234" s="27"/>
      <c r="E234" s="27"/>
    </row>
    <row r="235">
      <c r="A235" s="27"/>
      <c r="B235" s="52"/>
      <c r="C235" s="27"/>
      <c r="D235" s="27"/>
      <c r="E235" s="27"/>
    </row>
    <row r="236">
      <c r="A236" s="27"/>
      <c r="B236" s="52"/>
      <c r="C236" s="27"/>
      <c r="D236" s="27"/>
      <c r="E236" s="27"/>
    </row>
    <row r="237">
      <c r="A237" s="27"/>
      <c r="B237" s="52"/>
      <c r="C237" s="27"/>
      <c r="D237" s="27"/>
      <c r="E237" s="27"/>
    </row>
    <row r="238">
      <c r="A238" s="27"/>
      <c r="B238" s="52"/>
      <c r="C238" s="27"/>
      <c r="D238" s="27"/>
      <c r="E238" s="27"/>
    </row>
    <row r="239">
      <c r="A239" s="27"/>
      <c r="B239" s="52"/>
      <c r="C239" s="27"/>
      <c r="D239" s="27"/>
      <c r="E239" s="27"/>
    </row>
    <row r="240">
      <c r="A240" s="27"/>
      <c r="B240" s="52"/>
      <c r="C240" s="27"/>
      <c r="D240" s="27"/>
      <c r="E240" s="27"/>
    </row>
    <row r="241">
      <c r="A241" s="27"/>
      <c r="B241" s="52"/>
      <c r="C241" s="27"/>
      <c r="D241" s="27"/>
      <c r="E241" s="27"/>
    </row>
    <row r="242">
      <c r="A242" s="27"/>
      <c r="B242" s="52"/>
      <c r="C242" s="27"/>
      <c r="D242" s="27"/>
      <c r="E242" s="27"/>
    </row>
    <row r="243">
      <c r="A243" s="27"/>
      <c r="B243" s="52"/>
      <c r="C243" s="27"/>
      <c r="D243" s="27"/>
      <c r="E243" s="27"/>
    </row>
    <row r="244">
      <c r="A244" s="27"/>
      <c r="B244" s="52"/>
      <c r="C244" s="27"/>
      <c r="D244" s="27"/>
      <c r="E244" s="27"/>
    </row>
    <row r="245">
      <c r="A245" s="27"/>
      <c r="B245" s="52"/>
      <c r="C245" s="27"/>
      <c r="D245" s="27"/>
      <c r="E245" s="27"/>
    </row>
    <row r="246">
      <c r="A246" s="27"/>
      <c r="B246" s="52"/>
      <c r="C246" s="27"/>
      <c r="D246" s="27"/>
      <c r="E246" s="27"/>
    </row>
    <row r="247">
      <c r="A247" s="27"/>
      <c r="B247" s="52"/>
      <c r="C247" s="27"/>
      <c r="D247" s="27"/>
      <c r="E247" s="27"/>
    </row>
    <row r="248">
      <c r="A248" s="27"/>
      <c r="B248" s="52"/>
      <c r="C248" s="27"/>
      <c r="D248" s="27"/>
      <c r="E248" s="27"/>
    </row>
    <row r="249">
      <c r="A249" s="27"/>
      <c r="B249" s="52"/>
      <c r="C249" s="27"/>
      <c r="D249" s="27"/>
      <c r="E249" s="27"/>
    </row>
    <row r="250">
      <c r="A250" s="27"/>
      <c r="B250" s="52"/>
      <c r="C250" s="27"/>
      <c r="D250" s="27"/>
      <c r="E250" s="27"/>
    </row>
    <row r="251">
      <c r="A251" s="27"/>
      <c r="B251" s="52"/>
      <c r="C251" s="27"/>
      <c r="D251" s="27"/>
      <c r="E251" s="27"/>
    </row>
    <row r="252">
      <c r="A252" s="27"/>
      <c r="B252" s="52"/>
      <c r="C252" s="27"/>
      <c r="D252" s="27"/>
      <c r="E252" s="27"/>
    </row>
    <row r="253">
      <c r="A253" s="27"/>
      <c r="B253" s="52"/>
      <c r="C253" s="27"/>
      <c r="D253" s="27"/>
      <c r="E253" s="27"/>
    </row>
    <row r="254">
      <c r="A254" s="27"/>
      <c r="B254" s="52"/>
      <c r="C254" s="27"/>
      <c r="D254" s="27"/>
      <c r="E254" s="27"/>
    </row>
    <row r="255">
      <c r="A255" s="27"/>
      <c r="B255" s="52"/>
      <c r="C255" s="27"/>
      <c r="D255" s="27"/>
      <c r="E255" s="27"/>
    </row>
    <row r="256">
      <c r="A256" s="27"/>
      <c r="B256" s="52"/>
      <c r="C256" s="27"/>
      <c r="D256" s="27"/>
      <c r="E256" s="27"/>
    </row>
    <row r="257">
      <c r="A257" s="27"/>
      <c r="B257" s="52"/>
      <c r="C257" s="27"/>
      <c r="D257" s="27"/>
      <c r="E257" s="27"/>
    </row>
    <row r="258">
      <c r="A258" s="27"/>
      <c r="B258" s="52"/>
      <c r="C258" s="27"/>
      <c r="D258" s="27"/>
      <c r="E258" s="27"/>
    </row>
    <row r="259">
      <c r="A259" s="27"/>
      <c r="B259" s="52"/>
      <c r="C259" s="27"/>
      <c r="D259" s="27"/>
      <c r="E259" s="27"/>
    </row>
    <row r="260">
      <c r="A260" s="27"/>
      <c r="B260" s="52"/>
      <c r="C260" s="27"/>
      <c r="D260" s="27"/>
      <c r="E260" s="27"/>
    </row>
    <row r="261">
      <c r="A261" s="27"/>
      <c r="B261" s="52"/>
      <c r="C261" s="27"/>
      <c r="D261" s="27"/>
      <c r="E261" s="27"/>
    </row>
    <row r="262">
      <c r="A262" s="27"/>
      <c r="B262" s="52"/>
      <c r="C262" s="27"/>
      <c r="D262" s="27"/>
      <c r="E262" s="27"/>
    </row>
    <row r="263">
      <c r="A263" s="27"/>
      <c r="B263" s="52"/>
      <c r="C263" s="27"/>
      <c r="D263" s="27"/>
      <c r="E263" s="27"/>
    </row>
    <row r="264">
      <c r="A264" s="27"/>
      <c r="B264" s="52"/>
      <c r="C264" s="27"/>
      <c r="D264" s="27"/>
      <c r="E264" s="27"/>
    </row>
    <row r="265">
      <c r="A265" s="27"/>
      <c r="B265" s="52"/>
      <c r="C265" s="27"/>
      <c r="D265" s="27"/>
      <c r="E265" s="27"/>
    </row>
    <row r="266">
      <c r="A266" s="27"/>
      <c r="B266" s="52"/>
      <c r="C266" s="27"/>
      <c r="D266" s="27"/>
      <c r="E266" s="27"/>
    </row>
    <row r="267">
      <c r="A267" s="27"/>
      <c r="B267" s="52"/>
      <c r="C267" s="27"/>
      <c r="D267" s="27"/>
      <c r="E267" s="27"/>
    </row>
    <row r="268">
      <c r="A268" s="27"/>
      <c r="B268" s="52"/>
      <c r="C268" s="27"/>
      <c r="D268" s="27"/>
      <c r="E268" s="27"/>
    </row>
    <row r="269">
      <c r="A269" s="27"/>
      <c r="B269" s="52"/>
      <c r="C269" s="27"/>
      <c r="D269" s="27"/>
      <c r="E269" s="27"/>
    </row>
    <row r="270">
      <c r="A270" s="27"/>
      <c r="B270" s="52"/>
      <c r="C270" s="27"/>
      <c r="D270" s="27"/>
      <c r="E270" s="27"/>
    </row>
    <row r="271">
      <c r="A271" s="27"/>
      <c r="B271" s="52"/>
      <c r="C271" s="27"/>
      <c r="D271" s="27"/>
      <c r="E271" s="27"/>
    </row>
    <row r="272">
      <c r="A272" s="27"/>
      <c r="B272" s="52"/>
      <c r="C272" s="27"/>
      <c r="D272" s="27"/>
      <c r="E272" s="27"/>
    </row>
    <row r="273">
      <c r="A273" s="27"/>
      <c r="B273" s="52"/>
      <c r="C273" s="27"/>
      <c r="D273" s="27"/>
      <c r="E273" s="27"/>
    </row>
    <row r="274">
      <c r="A274" s="27"/>
      <c r="B274" s="52"/>
      <c r="C274" s="27"/>
      <c r="D274" s="27"/>
      <c r="E274" s="27"/>
    </row>
    <row r="275">
      <c r="A275" s="27"/>
      <c r="B275" s="52"/>
      <c r="C275" s="27"/>
      <c r="D275" s="27"/>
      <c r="E275" s="27"/>
    </row>
    <row r="276">
      <c r="A276" s="27"/>
      <c r="B276" s="52"/>
      <c r="C276" s="27"/>
      <c r="D276" s="27"/>
      <c r="E276" s="27"/>
    </row>
    <row r="277">
      <c r="A277" s="27"/>
      <c r="B277" s="52"/>
      <c r="C277" s="27"/>
      <c r="D277" s="27"/>
      <c r="E277" s="27"/>
    </row>
    <row r="278">
      <c r="A278" s="27"/>
      <c r="B278" s="52"/>
      <c r="C278" s="27"/>
      <c r="D278" s="27"/>
      <c r="E278" s="27"/>
    </row>
    <row r="279">
      <c r="A279" s="27"/>
      <c r="B279" s="52"/>
      <c r="C279" s="27"/>
      <c r="D279" s="27"/>
      <c r="E279" s="27"/>
    </row>
    <row r="280">
      <c r="A280" s="27"/>
      <c r="B280" s="52"/>
      <c r="C280" s="27"/>
      <c r="D280" s="27"/>
      <c r="E280" s="27"/>
    </row>
    <row r="281">
      <c r="A281" s="27"/>
      <c r="B281" s="52"/>
      <c r="C281" s="27"/>
      <c r="D281" s="27"/>
      <c r="E281" s="27"/>
    </row>
    <row r="282">
      <c r="A282" s="27"/>
      <c r="B282" s="52"/>
      <c r="C282" s="27"/>
      <c r="D282" s="27"/>
      <c r="E282" s="27"/>
    </row>
    <row r="283">
      <c r="A283" s="27"/>
      <c r="B283" s="52"/>
      <c r="C283" s="27"/>
      <c r="D283" s="27"/>
      <c r="E283" s="27"/>
    </row>
    <row r="284">
      <c r="A284" s="27"/>
      <c r="B284" s="52"/>
      <c r="C284" s="27"/>
      <c r="D284" s="27"/>
      <c r="E284" s="27"/>
    </row>
    <row r="285">
      <c r="A285" s="27"/>
      <c r="B285" s="52"/>
      <c r="C285" s="27"/>
      <c r="D285" s="27"/>
      <c r="E285" s="27"/>
    </row>
    <row r="286">
      <c r="A286" s="27"/>
      <c r="B286" s="52"/>
      <c r="C286" s="27"/>
      <c r="D286" s="27"/>
      <c r="E286" s="27"/>
    </row>
    <row r="287">
      <c r="A287" s="27"/>
      <c r="B287" s="52"/>
      <c r="C287" s="27"/>
      <c r="D287" s="27"/>
      <c r="E287" s="27"/>
    </row>
    <row r="288">
      <c r="A288" s="27"/>
      <c r="B288" s="52"/>
      <c r="C288" s="27"/>
      <c r="D288" s="27"/>
      <c r="E288" s="27"/>
    </row>
    <row r="289">
      <c r="A289" s="27"/>
      <c r="B289" s="52"/>
      <c r="C289" s="27"/>
      <c r="D289" s="27"/>
      <c r="E289" s="27"/>
    </row>
    <row r="290">
      <c r="A290" s="27"/>
      <c r="B290" s="52"/>
      <c r="C290" s="27"/>
      <c r="D290" s="27"/>
      <c r="E290" s="27"/>
    </row>
    <row r="291">
      <c r="A291" s="27"/>
      <c r="B291" s="52"/>
      <c r="C291" s="27"/>
      <c r="D291" s="27"/>
      <c r="E291" s="27"/>
    </row>
    <row r="292">
      <c r="A292" s="27"/>
      <c r="B292" s="52"/>
      <c r="C292" s="27"/>
      <c r="D292" s="27"/>
      <c r="E292" s="27"/>
    </row>
    <row r="293">
      <c r="A293" s="27"/>
      <c r="B293" s="52"/>
      <c r="C293" s="27"/>
      <c r="D293" s="27"/>
      <c r="E293" s="27"/>
    </row>
    <row r="294">
      <c r="A294" s="27"/>
      <c r="B294" s="52"/>
      <c r="C294" s="27"/>
      <c r="D294" s="27"/>
      <c r="E294" s="27"/>
    </row>
    <row r="295">
      <c r="A295" s="27"/>
      <c r="B295" s="52"/>
      <c r="C295" s="27"/>
      <c r="D295" s="27"/>
      <c r="E295" s="27"/>
    </row>
    <row r="296">
      <c r="A296" s="27"/>
      <c r="B296" s="52"/>
      <c r="C296" s="27"/>
      <c r="D296" s="27"/>
      <c r="E296" s="27"/>
    </row>
    <row r="297">
      <c r="A297" s="27"/>
      <c r="B297" s="52"/>
      <c r="C297" s="27"/>
      <c r="D297" s="27"/>
      <c r="E297" s="27"/>
    </row>
    <row r="298">
      <c r="A298" s="27"/>
      <c r="B298" s="52"/>
      <c r="C298" s="27"/>
      <c r="D298" s="27"/>
      <c r="E298" s="27"/>
    </row>
    <row r="299">
      <c r="A299" s="27"/>
      <c r="B299" s="52"/>
      <c r="C299" s="27"/>
      <c r="D299" s="27"/>
      <c r="E299" s="27"/>
    </row>
    <row r="300">
      <c r="A300" s="27"/>
      <c r="B300" s="52"/>
      <c r="C300" s="27"/>
      <c r="D300" s="27"/>
      <c r="E300" s="27"/>
    </row>
    <row r="301">
      <c r="A301" s="27"/>
      <c r="B301" s="52"/>
      <c r="C301" s="27"/>
      <c r="D301" s="27"/>
      <c r="E301" s="27"/>
    </row>
    <row r="302">
      <c r="A302" s="27"/>
      <c r="B302" s="52"/>
      <c r="C302" s="27"/>
      <c r="D302" s="27"/>
      <c r="E302" s="27"/>
    </row>
    <row r="303">
      <c r="A303" s="27"/>
      <c r="B303" s="52"/>
      <c r="C303" s="27"/>
      <c r="D303" s="27"/>
      <c r="E303" s="27"/>
    </row>
    <row r="304">
      <c r="A304" s="27"/>
      <c r="B304" s="52"/>
      <c r="C304" s="27"/>
      <c r="D304" s="27"/>
      <c r="E304" s="27"/>
    </row>
    <row r="305">
      <c r="A305" s="27"/>
      <c r="B305" s="52"/>
      <c r="C305" s="27"/>
      <c r="D305" s="27"/>
      <c r="E305" s="27"/>
    </row>
    <row r="306">
      <c r="A306" s="27"/>
      <c r="B306" s="52"/>
      <c r="C306" s="27"/>
      <c r="D306" s="27"/>
      <c r="E306" s="27"/>
    </row>
    <row r="307">
      <c r="A307" s="27"/>
      <c r="B307" s="52"/>
      <c r="C307" s="27"/>
      <c r="D307" s="27"/>
      <c r="E307" s="27"/>
    </row>
    <row r="308">
      <c r="A308" s="27"/>
      <c r="B308" s="52"/>
      <c r="C308" s="27"/>
      <c r="D308" s="27"/>
      <c r="E308" s="27"/>
    </row>
    <row r="309">
      <c r="A309" s="27"/>
      <c r="B309" s="52"/>
      <c r="C309" s="27"/>
      <c r="D309" s="27"/>
      <c r="E309" s="27"/>
    </row>
    <row r="310">
      <c r="A310" s="27"/>
      <c r="B310" s="52"/>
      <c r="C310" s="27"/>
      <c r="D310" s="27"/>
      <c r="E310" s="27"/>
    </row>
    <row r="311">
      <c r="A311" s="27"/>
      <c r="B311" s="52"/>
      <c r="C311" s="27"/>
      <c r="D311" s="27"/>
      <c r="E311" s="27"/>
    </row>
    <row r="312">
      <c r="A312" s="27"/>
      <c r="B312" s="52"/>
      <c r="C312" s="27"/>
      <c r="D312" s="27"/>
      <c r="E312" s="27"/>
    </row>
    <row r="313">
      <c r="A313" s="27"/>
      <c r="B313" s="52"/>
      <c r="C313" s="27"/>
      <c r="D313" s="27"/>
      <c r="E313" s="27"/>
    </row>
    <row r="314">
      <c r="A314" s="27"/>
      <c r="B314" s="52"/>
      <c r="C314" s="27"/>
      <c r="D314" s="27"/>
      <c r="E314" s="27"/>
    </row>
    <row r="315">
      <c r="A315" s="27"/>
      <c r="B315" s="52"/>
      <c r="C315" s="27"/>
      <c r="D315" s="27"/>
      <c r="E315" s="27"/>
    </row>
    <row r="316">
      <c r="A316" s="27"/>
      <c r="B316" s="52"/>
      <c r="C316" s="27"/>
      <c r="D316" s="27"/>
      <c r="E316" s="27"/>
    </row>
    <row r="317">
      <c r="A317" s="27"/>
      <c r="B317" s="52"/>
      <c r="C317" s="27"/>
      <c r="D317" s="27"/>
      <c r="E317" s="27"/>
    </row>
    <row r="318">
      <c r="A318" s="27"/>
      <c r="B318" s="52"/>
      <c r="C318" s="27"/>
      <c r="D318" s="27"/>
      <c r="E318" s="27"/>
    </row>
    <row r="319">
      <c r="A319" s="27"/>
      <c r="B319" s="52"/>
      <c r="C319" s="27"/>
      <c r="D319" s="27"/>
      <c r="E319" s="27"/>
    </row>
    <row r="320">
      <c r="A320" s="27"/>
      <c r="B320" s="52"/>
      <c r="C320" s="27"/>
      <c r="D320" s="27"/>
      <c r="E320" s="27"/>
    </row>
    <row r="321">
      <c r="A321" s="27"/>
      <c r="B321" s="52"/>
      <c r="C321" s="27"/>
      <c r="D321" s="27"/>
      <c r="E321" s="27"/>
    </row>
    <row r="322">
      <c r="A322" s="27"/>
      <c r="B322" s="52"/>
      <c r="C322" s="27"/>
      <c r="D322" s="27"/>
      <c r="E322" s="27"/>
    </row>
    <row r="323">
      <c r="A323" s="27"/>
      <c r="B323" s="52"/>
      <c r="C323" s="27"/>
      <c r="D323" s="27"/>
      <c r="E323" s="27"/>
    </row>
    <row r="324">
      <c r="A324" s="27"/>
      <c r="B324" s="52"/>
      <c r="C324" s="27"/>
      <c r="D324" s="27"/>
      <c r="E324" s="27"/>
    </row>
    <row r="325">
      <c r="A325" s="27"/>
      <c r="B325" s="52"/>
      <c r="C325" s="27"/>
      <c r="D325" s="27"/>
      <c r="E325" s="27"/>
    </row>
    <row r="326">
      <c r="A326" s="27"/>
      <c r="B326" s="52"/>
      <c r="C326" s="27"/>
      <c r="D326" s="27"/>
      <c r="E326" s="27"/>
    </row>
    <row r="327">
      <c r="A327" s="27"/>
      <c r="B327" s="52"/>
      <c r="C327" s="27"/>
      <c r="D327" s="27"/>
      <c r="E327" s="27"/>
    </row>
    <row r="328">
      <c r="A328" s="27"/>
      <c r="B328" s="52"/>
      <c r="C328" s="27"/>
      <c r="D328" s="27"/>
      <c r="E328" s="27"/>
    </row>
    <row r="329">
      <c r="A329" s="27"/>
      <c r="B329" s="52"/>
      <c r="C329" s="27"/>
      <c r="D329" s="27"/>
      <c r="E329" s="27"/>
    </row>
    <row r="330">
      <c r="A330" s="27"/>
      <c r="B330" s="52"/>
      <c r="C330" s="27"/>
      <c r="D330" s="27"/>
      <c r="E330" s="27"/>
    </row>
    <row r="331">
      <c r="A331" s="27"/>
      <c r="B331" s="52"/>
      <c r="C331" s="27"/>
      <c r="D331" s="27"/>
      <c r="E331" s="27"/>
    </row>
    <row r="332">
      <c r="A332" s="27"/>
      <c r="B332" s="52"/>
      <c r="C332" s="27"/>
      <c r="D332" s="27"/>
      <c r="E332" s="27"/>
    </row>
    <row r="333">
      <c r="A333" s="27"/>
      <c r="B333" s="52"/>
      <c r="C333" s="27"/>
      <c r="D333" s="27"/>
      <c r="E333" s="27"/>
    </row>
    <row r="334">
      <c r="A334" s="27"/>
      <c r="B334" s="52"/>
      <c r="C334" s="27"/>
      <c r="D334" s="27"/>
      <c r="E334" s="27"/>
    </row>
    <row r="335">
      <c r="A335" s="27"/>
      <c r="B335" s="52"/>
      <c r="C335" s="27"/>
      <c r="D335" s="27"/>
      <c r="E335" s="27"/>
    </row>
    <row r="336">
      <c r="A336" s="27"/>
      <c r="B336" s="52"/>
      <c r="C336" s="27"/>
      <c r="D336" s="27"/>
      <c r="E336" s="27"/>
    </row>
    <row r="337">
      <c r="A337" s="27"/>
      <c r="B337" s="52"/>
      <c r="C337" s="27"/>
      <c r="D337" s="27"/>
      <c r="E337" s="27"/>
    </row>
    <row r="338">
      <c r="A338" s="27"/>
      <c r="B338" s="52"/>
      <c r="C338" s="27"/>
      <c r="D338" s="27"/>
      <c r="E338" s="27"/>
    </row>
    <row r="339">
      <c r="A339" s="27"/>
      <c r="B339" s="52"/>
      <c r="C339" s="27"/>
      <c r="D339" s="27"/>
      <c r="E339" s="27"/>
    </row>
    <row r="340">
      <c r="A340" s="27"/>
      <c r="B340" s="52"/>
      <c r="C340" s="27"/>
      <c r="D340" s="27"/>
      <c r="E340" s="27"/>
    </row>
    <row r="341">
      <c r="A341" s="27"/>
      <c r="B341" s="52"/>
      <c r="C341" s="27"/>
      <c r="D341" s="27"/>
      <c r="E341" s="27"/>
    </row>
    <row r="342">
      <c r="A342" s="27"/>
      <c r="B342" s="52"/>
      <c r="C342" s="27"/>
      <c r="D342" s="27"/>
      <c r="E342" s="27"/>
    </row>
    <row r="343">
      <c r="A343" s="27"/>
      <c r="B343" s="52"/>
      <c r="C343" s="27"/>
      <c r="D343" s="27"/>
      <c r="E343" s="27"/>
    </row>
    <row r="344">
      <c r="A344" s="27"/>
      <c r="B344" s="52"/>
      <c r="C344" s="27"/>
      <c r="D344" s="27"/>
      <c r="E344" s="27"/>
    </row>
    <row r="345">
      <c r="A345" s="27"/>
      <c r="B345" s="52"/>
      <c r="C345" s="27"/>
      <c r="D345" s="27"/>
      <c r="E345" s="27"/>
    </row>
    <row r="346">
      <c r="A346" s="27"/>
      <c r="B346" s="52"/>
      <c r="C346" s="27"/>
      <c r="D346" s="27"/>
      <c r="E346" s="27"/>
    </row>
    <row r="347">
      <c r="A347" s="27"/>
      <c r="B347" s="52"/>
      <c r="C347" s="27"/>
      <c r="D347" s="27"/>
      <c r="E347" s="27"/>
    </row>
    <row r="348">
      <c r="A348" s="27"/>
      <c r="B348" s="52"/>
      <c r="C348" s="27"/>
      <c r="D348" s="27"/>
      <c r="E348" s="27"/>
    </row>
    <row r="349">
      <c r="A349" s="27"/>
      <c r="B349" s="52"/>
      <c r="C349" s="27"/>
      <c r="D349" s="27"/>
      <c r="E349" s="27"/>
    </row>
    <row r="350">
      <c r="A350" s="27"/>
      <c r="B350" s="52"/>
      <c r="C350" s="27"/>
      <c r="D350" s="27"/>
      <c r="E350" s="27"/>
    </row>
    <row r="351">
      <c r="A351" s="27"/>
      <c r="B351" s="52"/>
      <c r="C351" s="27"/>
      <c r="D351" s="27"/>
      <c r="E351" s="27"/>
    </row>
    <row r="352">
      <c r="A352" s="27"/>
      <c r="B352" s="52"/>
      <c r="C352" s="27"/>
      <c r="D352" s="27"/>
      <c r="E352" s="27"/>
    </row>
    <row r="353">
      <c r="A353" s="27"/>
      <c r="B353" s="52"/>
      <c r="C353" s="27"/>
      <c r="D353" s="27"/>
      <c r="E353" s="27"/>
    </row>
    <row r="354">
      <c r="A354" s="27"/>
      <c r="B354" s="52"/>
      <c r="C354" s="27"/>
      <c r="D354" s="27"/>
      <c r="E354" s="27"/>
    </row>
    <row r="355">
      <c r="A355" s="27"/>
      <c r="B355" s="52"/>
      <c r="C355" s="27"/>
      <c r="D355" s="27"/>
      <c r="E355" s="27"/>
    </row>
    <row r="356">
      <c r="A356" s="27"/>
      <c r="B356" s="52"/>
      <c r="C356" s="27"/>
      <c r="D356" s="27"/>
      <c r="E356" s="27"/>
    </row>
    <row r="357">
      <c r="A357" s="27"/>
      <c r="B357" s="52"/>
      <c r="C357" s="27"/>
      <c r="D357" s="27"/>
      <c r="E357" s="27"/>
    </row>
    <row r="358">
      <c r="A358" s="27"/>
      <c r="B358" s="52"/>
      <c r="C358" s="27"/>
      <c r="D358" s="27"/>
      <c r="E358" s="27"/>
    </row>
    <row r="359">
      <c r="A359" s="27"/>
      <c r="B359" s="52"/>
      <c r="C359" s="27"/>
      <c r="D359" s="27"/>
      <c r="E359" s="27"/>
    </row>
    <row r="360">
      <c r="A360" s="27"/>
      <c r="B360" s="52"/>
      <c r="C360" s="27"/>
      <c r="D360" s="27"/>
      <c r="E360" s="27"/>
    </row>
    <row r="361">
      <c r="A361" s="27"/>
      <c r="B361" s="52"/>
      <c r="C361" s="27"/>
      <c r="D361" s="27"/>
      <c r="E361" s="27"/>
    </row>
    <row r="362">
      <c r="A362" s="27"/>
      <c r="B362" s="52"/>
      <c r="C362" s="27"/>
      <c r="D362" s="27"/>
      <c r="E362" s="27"/>
    </row>
    <row r="363">
      <c r="A363" s="27"/>
      <c r="B363" s="52"/>
      <c r="C363" s="27"/>
      <c r="D363" s="27"/>
      <c r="E363" s="27"/>
    </row>
    <row r="364">
      <c r="A364" s="27"/>
      <c r="B364" s="52"/>
      <c r="C364" s="27"/>
      <c r="D364" s="27"/>
      <c r="E364" s="27"/>
    </row>
    <row r="365">
      <c r="A365" s="27"/>
      <c r="B365" s="52"/>
      <c r="C365" s="27"/>
      <c r="D365" s="27"/>
      <c r="E365" s="27"/>
    </row>
    <row r="366">
      <c r="A366" s="27"/>
      <c r="B366" s="52"/>
      <c r="C366" s="27"/>
      <c r="D366" s="27"/>
      <c r="E366" s="27"/>
    </row>
    <row r="367">
      <c r="A367" s="27"/>
      <c r="B367" s="52"/>
      <c r="C367" s="27"/>
      <c r="D367" s="27"/>
      <c r="E367" s="27"/>
    </row>
    <row r="368">
      <c r="A368" s="27"/>
      <c r="B368" s="52"/>
      <c r="C368" s="27"/>
      <c r="D368" s="27"/>
      <c r="E368" s="27"/>
    </row>
    <row r="369">
      <c r="A369" s="27"/>
      <c r="B369" s="52"/>
      <c r="C369" s="27"/>
      <c r="D369" s="27"/>
      <c r="E369" s="27"/>
    </row>
    <row r="370">
      <c r="A370" s="27"/>
      <c r="B370" s="52"/>
      <c r="C370" s="27"/>
      <c r="D370" s="27"/>
      <c r="E370" s="27"/>
    </row>
    <row r="371">
      <c r="A371" s="27"/>
      <c r="B371" s="52"/>
      <c r="C371" s="27"/>
      <c r="D371" s="27"/>
      <c r="E371" s="27"/>
    </row>
    <row r="372">
      <c r="A372" s="27"/>
      <c r="B372" s="52"/>
      <c r="C372" s="27"/>
      <c r="D372" s="27"/>
      <c r="E372" s="27"/>
    </row>
    <row r="373">
      <c r="A373" s="27"/>
      <c r="B373" s="52"/>
      <c r="C373" s="27"/>
      <c r="D373" s="27"/>
      <c r="E373" s="27"/>
    </row>
    <row r="374">
      <c r="A374" s="27"/>
      <c r="B374" s="52"/>
      <c r="C374" s="27"/>
      <c r="D374" s="27"/>
      <c r="E374" s="27"/>
    </row>
    <row r="375">
      <c r="A375" s="27"/>
      <c r="B375" s="52"/>
      <c r="C375" s="27"/>
      <c r="D375" s="27"/>
      <c r="E375" s="27"/>
    </row>
    <row r="376">
      <c r="A376" s="27"/>
      <c r="B376" s="52"/>
      <c r="C376" s="27"/>
      <c r="D376" s="27"/>
      <c r="E376" s="27"/>
    </row>
    <row r="377">
      <c r="A377" s="27"/>
      <c r="B377" s="52"/>
      <c r="C377" s="27"/>
      <c r="D377" s="27"/>
      <c r="E377" s="27"/>
    </row>
    <row r="378">
      <c r="A378" s="27"/>
      <c r="B378" s="52"/>
      <c r="C378" s="27"/>
      <c r="D378" s="27"/>
      <c r="E378" s="27"/>
    </row>
    <row r="379">
      <c r="A379" s="27"/>
      <c r="B379" s="52"/>
      <c r="C379" s="27"/>
      <c r="D379" s="27"/>
      <c r="E379" s="27"/>
    </row>
    <row r="380">
      <c r="A380" s="27"/>
      <c r="B380" s="52"/>
      <c r="C380" s="27"/>
      <c r="D380" s="27"/>
      <c r="E380" s="27"/>
    </row>
    <row r="381">
      <c r="A381" s="27"/>
      <c r="B381" s="52"/>
      <c r="C381" s="27"/>
      <c r="D381" s="27"/>
      <c r="E381" s="27"/>
    </row>
    <row r="382">
      <c r="A382" s="27"/>
      <c r="B382" s="52"/>
      <c r="C382" s="27"/>
      <c r="D382" s="27"/>
      <c r="E382" s="27"/>
    </row>
    <row r="383">
      <c r="A383" s="27"/>
      <c r="B383" s="52"/>
      <c r="C383" s="27"/>
      <c r="D383" s="27"/>
      <c r="E383" s="27"/>
    </row>
    <row r="384">
      <c r="A384" s="27"/>
      <c r="B384" s="52"/>
      <c r="C384" s="27"/>
      <c r="D384" s="27"/>
      <c r="E384" s="27"/>
    </row>
    <row r="385">
      <c r="A385" s="27"/>
      <c r="B385" s="52"/>
      <c r="C385" s="27"/>
      <c r="D385" s="27"/>
      <c r="E385" s="27"/>
    </row>
    <row r="386">
      <c r="A386" s="27"/>
      <c r="B386" s="52"/>
      <c r="C386" s="27"/>
      <c r="D386" s="27"/>
      <c r="E386" s="27"/>
    </row>
    <row r="387">
      <c r="A387" s="27"/>
      <c r="B387" s="52"/>
      <c r="C387" s="27"/>
      <c r="D387" s="27"/>
      <c r="E387" s="27"/>
    </row>
    <row r="388">
      <c r="A388" s="27"/>
      <c r="B388" s="52"/>
      <c r="C388" s="27"/>
      <c r="D388" s="27"/>
      <c r="E388" s="27"/>
    </row>
    <row r="389">
      <c r="A389" s="27"/>
      <c r="B389" s="52"/>
      <c r="C389" s="27"/>
      <c r="D389" s="27"/>
      <c r="E389" s="27"/>
    </row>
    <row r="390">
      <c r="A390" s="27"/>
      <c r="B390" s="52"/>
      <c r="C390" s="27"/>
      <c r="D390" s="27"/>
      <c r="E390" s="27"/>
    </row>
    <row r="391">
      <c r="A391" s="27"/>
      <c r="B391" s="52"/>
      <c r="C391" s="27"/>
      <c r="D391" s="27"/>
      <c r="E391" s="27"/>
    </row>
    <row r="392">
      <c r="A392" s="27"/>
      <c r="B392" s="52"/>
      <c r="C392" s="27"/>
      <c r="D392" s="27"/>
      <c r="E392" s="27"/>
    </row>
    <row r="393">
      <c r="A393" s="27"/>
      <c r="B393" s="52"/>
      <c r="C393" s="27"/>
      <c r="D393" s="27"/>
      <c r="E393" s="27"/>
    </row>
    <row r="394">
      <c r="A394" s="27"/>
      <c r="B394" s="52"/>
      <c r="C394" s="27"/>
      <c r="D394" s="27"/>
      <c r="E394" s="27"/>
    </row>
    <row r="395">
      <c r="A395" s="27"/>
      <c r="B395" s="52"/>
      <c r="C395" s="27"/>
      <c r="D395" s="27"/>
      <c r="E395" s="27"/>
    </row>
    <row r="396">
      <c r="A396" s="27"/>
      <c r="B396" s="52"/>
      <c r="C396" s="27"/>
      <c r="D396" s="27"/>
      <c r="E396" s="27"/>
    </row>
    <row r="397">
      <c r="A397" s="27"/>
      <c r="B397" s="52"/>
      <c r="C397" s="27"/>
      <c r="D397" s="27"/>
      <c r="E397" s="27"/>
    </row>
    <row r="398">
      <c r="A398" s="27"/>
      <c r="B398" s="52"/>
      <c r="C398" s="27"/>
      <c r="D398" s="27"/>
      <c r="E398" s="27"/>
    </row>
    <row r="399">
      <c r="A399" s="27"/>
      <c r="B399" s="52"/>
      <c r="C399" s="27"/>
      <c r="D399" s="27"/>
      <c r="E399" s="27"/>
    </row>
    <row r="400">
      <c r="A400" s="27"/>
      <c r="B400" s="52"/>
      <c r="C400" s="27"/>
      <c r="D400" s="27"/>
      <c r="E400" s="27"/>
    </row>
    <row r="401">
      <c r="A401" s="27"/>
      <c r="B401" s="52"/>
      <c r="C401" s="27"/>
      <c r="D401" s="27"/>
      <c r="E401" s="27"/>
    </row>
    <row r="402">
      <c r="A402" s="27"/>
      <c r="B402" s="52"/>
      <c r="C402" s="27"/>
      <c r="D402" s="27"/>
      <c r="E402" s="27"/>
    </row>
    <row r="403">
      <c r="A403" s="27"/>
      <c r="B403" s="52"/>
      <c r="C403" s="27"/>
      <c r="D403" s="27"/>
      <c r="E403" s="27"/>
    </row>
    <row r="404">
      <c r="A404" s="27"/>
      <c r="B404" s="52"/>
      <c r="C404" s="27"/>
      <c r="D404" s="27"/>
      <c r="E404" s="27"/>
    </row>
    <row r="405">
      <c r="A405" s="27"/>
      <c r="B405" s="52"/>
      <c r="C405" s="27"/>
      <c r="D405" s="27"/>
      <c r="E405" s="27"/>
    </row>
    <row r="406">
      <c r="A406" s="27"/>
      <c r="B406" s="52"/>
      <c r="C406" s="27"/>
      <c r="D406" s="27"/>
      <c r="E406" s="27"/>
    </row>
    <row r="407">
      <c r="A407" s="27"/>
      <c r="B407" s="52"/>
      <c r="C407" s="27"/>
      <c r="D407" s="27"/>
      <c r="E407" s="27"/>
    </row>
    <row r="408">
      <c r="A408" s="27"/>
      <c r="B408" s="52"/>
      <c r="C408" s="27"/>
      <c r="D408" s="27"/>
      <c r="E408" s="27"/>
    </row>
    <row r="409">
      <c r="A409" s="27"/>
      <c r="B409" s="52"/>
      <c r="C409" s="27"/>
      <c r="D409" s="27"/>
      <c r="E409" s="27"/>
    </row>
    <row r="410">
      <c r="A410" s="27"/>
      <c r="B410" s="52"/>
      <c r="C410" s="27"/>
      <c r="D410" s="27"/>
      <c r="E410" s="27"/>
    </row>
    <row r="411">
      <c r="A411" s="27"/>
      <c r="B411" s="52"/>
      <c r="C411" s="27"/>
      <c r="D411" s="27"/>
      <c r="E411" s="27"/>
    </row>
    <row r="412">
      <c r="A412" s="27"/>
      <c r="B412" s="52"/>
      <c r="C412" s="27"/>
      <c r="D412" s="27"/>
      <c r="E412" s="27"/>
    </row>
    <row r="413">
      <c r="A413" s="27"/>
      <c r="B413" s="52"/>
      <c r="C413" s="27"/>
      <c r="D413" s="27"/>
      <c r="E413" s="27"/>
    </row>
    <row r="414">
      <c r="A414" s="27"/>
      <c r="B414" s="52"/>
      <c r="C414" s="27"/>
      <c r="D414" s="27"/>
      <c r="E414" s="27"/>
    </row>
    <row r="415">
      <c r="A415" s="27"/>
      <c r="B415" s="52"/>
      <c r="C415" s="27"/>
      <c r="D415" s="27"/>
      <c r="E415" s="27"/>
    </row>
    <row r="416">
      <c r="A416" s="27"/>
      <c r="B416" s="52"/>
      <c r="C416" s="27"/>
      <c r="D416" s="27"/>
      <c r="E416" s="27"/>
    </row>
    <row r="417">
      <c r="A417" s="27"/>
      <c r="B417" s="52"/>
      <c r="C417" s="27"/>
      <c r="D417" s="27"/>
      <c r="E417" s="27"/>
    </row>
    <row r="418">
      <c r="A418" s="27"/>
      <c r="B418" s="52"/>
      <c r="C418" s="27"/>
      <c r="D418" s="27"/>
      <c r="E418" s="27"/>
    </row>
    <row r="419">
      <c r="A419" s="27"/>
      <c r="B419" s="52"/>
      <c r="C419" s="27"/>
      <c r="D419" s="27"/>
      <c r="E419" s="27"/>
    </row>
    <row r="420">
      <c r="A420" s="27"/>
      <c r="B420" s="52"/>
      <c r="C420" s="27"/>
      <c r="D420" s="27"/>
      <c r="E420" s="27"/>
    </row>
    <row r="421">
      <c r="A421" s="27"/>
      <c r="B421" s="52"/>
      <c r="C421" s="27"/>
      <c r="D421" s="27"/>
      <c r="E421" s="27"/>
    </row>
    <row r="422">
      <c r="A422" s="27"/>
      <c r="B422" s="52"/>
      <c r="C422" s="27"/>
      <c r="D422" s="27"/>
      <c r="E422" s="27"/>
    </row>
    <row r="423">
      <c r="A423" s="27"/>
      <c r="B423" s="52"/>
      <c r="C423" s="27"/>
      <c r="D423" s="27"/>
      <c r="E423" s="27"/>
    </row>
    <row r="424">
      <c r="A424" s="27"/>
      <c r="B424" s="52"/>
      <c r="C424" s="27"/>
      <c r="D424" s="27"/>
      <c r="E424" s="27"/>
    </row>
    <row r="425">
      <c r="A425" s="27"/>
      <c r="B425" s="52"/>
      <c r="C425" s="27"/>
      <c r="D425" s="27"/>
      <c r="E425" s="27"/>
    </row>
    <row r="426">
      <c r="A426" s="27"/>
      <c r="B426" s="52"/>
      <c r="C426" s="27"/>
      <c r="D426" s="27"/>
      <c r="E426" s="27"/>
    </row>
    <row r="427">
      <c r="A427" s="27"/>
      <c r="B427" s="52"/>
      <c r="C427" s="27"/>
      <c r="D427" s="27"/>
      <c r="E427" s="27"/>
    </row>
    <row r="428">
      <c r="A428" s="27"/>
      <c r="B428" s="52"/>
      <c r="C428" s="27"/>
      <c r="D428" s="27"/>
      <c r="E428" s="27"/>
    </row>
    <row r="429">
      <c r="A429" s="27"/>
      <c r="B429" s="52"/>
      <c r="C429" s="27"/>
      <c r="D429" s="27"/>
      <c r="E429" s="27"/>
    </row>
    <row r="430">
      <c r="A430" s="27"/>
      <c r="B430" s="52"/>
      <c r="C430" s="27"/>
      <c r="D430" s="27"/>
      <c r="E430" s="27"/>
    </row>
    <row r="431">
      <c r="A431" s="27"/>
      <c r="B431" s="52"/>
      <c r="C431" s="27"/>
      <c r="D431" s="27"/>
      <c r="E431" s="27"/>
    </row>
    <row r="432">
      <c r="A432" s="27"/>
      <c r="B432" s="52"/>
      <c r="C432" s="27"/>
      <c r="D432" s="27"/>
      <c r="E432" s="27"/>
    </row>
    <row r="433">
      <c r="A433" s="27"/>
      <c r="B433" s="52"/>
      <c r="C433" s="27"/>
      <c r="D433" s="27"/>
      <c r="E433" s="27"/>
    </row>
    <row r="434">
      <c r="A434" s="27"/>
      <c r="B434" s="52"/>
      <c r="C434" s="27"/>
      <c r="D434" s="27"/>
      <c r="E434" s="27"/>
    </row>
    <row r="435">
      <c r="A435" s="27"/>
      <c r="B435" s="52"/>
      <c r="C435" s="27"/>
      <c r="D435" s="27"/>
      <c r="E435" s="27"/>
    </row>
    <row r="436">
      <c r="A436" s="27"/>
      <c r="B436" s="52"/>
      <c r="C436" s="27"/>
      <c r="D436" s="27"/>
      <c r="E436" s="27"/>
    </row>
    <row r="437">
      <c r="A437" s="27"/>
      <c r="B437" s="52"/>
      <c r="C437" s="27"/>
      <c r="D437" s="27"/>
      <c r="E437" s="27"/>
    </row>
    <row r="438">
      <c r="A438" s="27"/>
      <c r="B438" s="52"/>
      <c r="C438" s="27"/>
      <c r="D438" s="27"/>
      <c r="E438" s="27"/>
    </row>
    <row r="439">
      <c r="A439" s="27"/>
      <c r="B439" s="52"/>
      <c r="C439" s="27"/>
      <c r="D439" s="27"/>
      <c r="E439" s="27"/>
    </row>
    <row r="440">
      <c r="A440" s="27"/>
      <c r="B440" s="52"/>
      <c r="C440" s="27"/>
      <c r="D440" s="27"/>
      <c r="E440" s="27"/>
    </row>
    <row r="441">
      <c r="A441" s="27"/>
      <c r="B441" s="52"/>
      <c r="C441" s="27"/>
      <c r="D441" s="27"/>
      <c r="E441" s="27"/>
    </row>
    <row r="442">
      <c r="A442" s="27"/>
      <c r="B442" s="52"/>
      <c r="C442" s="27"/>
      <c r="D442" s="27"/>
      <c r="E442" s="27"/>
    </row>
    <row r="443">
      <c r="A443" s="27"/>
      <c r="B443" s="52"/>
      <c r="C443" s="27"/>
      <c r="D443" s="27"/>
      <c r="E443" s="27"/>
    </row>
    <row r="444">
      <c r="A444" s="27"/>
      <c r="B444" s="52"/>
      <c r="C444" s="27"/>
      <c r="D444" s="27"/>
      <c r="E444" s="27"/>
    </row>
    <row r="445">
      <c r="A445" s="27"/>
      <c r="B445" s="52"/>
      <c r="C445" s="27"/>
      <c r="D445" s="27"/>
      <c r="E445" s="27"/>
    </row>
    <row r="446">
      <c r="A446" s="27"/>
      <c r="B446" s="52"/>
      <c r="C446" s="27"/>
      <c r="D446" s="27"/>
      <c r="E446" s="27"/>
    </row>
    <row r="447">
      <c r="A447" s="27"/>
      <c r="B447" s="52"/>
      <c r="C447" s="27"/>
      <c r="D447" s="27"/>
      <c r="E447" s="27"/>
    </row>
    <row r="448">
      <c r="A448" s="27"/>
      <c r="B448" s="52"/>
      <c r="C448" s="27"/>
      <c r="D448" s="27"/>
      <c r="E448" s="27"/>
    </row>
    <row r="449">
      <c r="A449" s="27"/>
      <c r="B449" s="52"/>
      <c r="C449" s="27"/>
      <c r="D449" s="27"/>
      <c r="E449" s="27"/>
    </row>
    <row r="450">
      <c r="A450" s="27"/>
      <c r="B450" s="52"/>
      <c r="C450" s="27"/>
      <c r="D450" s="27"/>
      <c r="E450" s="27"/>
    </row>
    <row r="451">
      <c r="A451" s="27"/>
      <c r="B451" s="52"/>
      <c r="C451" s="27"/>
      <c r="D451" s="27"/>
      <c r="E451" s="27"/>
    </row>
    <row r="452">
      <c r="A452" s="27"/>
      <c r="B452" s="52"/>
      <c r="C452" s="27"/>
      <c r="D452" s="27"/>
      <c r="E452" s="27"/>
    </row>
    <row r="453">
      <c r="A453" s="27"/>
      <c r="B453" s="52"/>
      <c r="C453" s="27"/>
      <c r="D453" s="27"/>
      <c r="E453" s="27"/>
    </row>
    <row r="454">
      <c r="A454" s="27"/>
      <c r="B454" s="52"/>
      <c r="C454" s="27"/>
      <c r="D454" s="27"/>
      <c r="E454" s="27"/>
    </row>
    <row r="455">
      <c r="A455" s="27"/>
      <c r="B455" s="52"/>
      <c r="C455" s="27"/>
      <c r="D455" s="27"/>
      <c r="E455" s="27"/>
    </row>
    <row r="456">
      <c r="A456" s="27"/>
      <c r="B456" s="52"/>
      <c r="C456" s="27"/>
      <c r="D456" s="27"/>
      <c r="E456" s="27"/>
    </row>
    <row r="457">
      <c r="A457" s="27"/>
      <c r="B457" s="52"/>
      <c r="C457" s="27"/>
      <c r="D457" s="27"/>
      <c r="E457" s="27"/>
    </row>
    <row r="458">
      <c r="A458" s="27"/>
      <c r="B458" s="52"/>
      <c r="C458" s="27"/>
      <c r="D458" s="27"/>
      <c r="E458" s="27"/>
    </row>
    <row r="459">
      <c r="A459" s="27"/>
      <c r="B459" s="52"/>
      <c r="C459" s="27"/>
      <c r="D459" s="27"/>
      <c r="E459" s="27"/>
    </row>
    <row r="460">
      <c r="A460" s="27"/>
      <c r="B460" s="52"/>
      <c r="C460" s="27"/>
      <c r="D460" s="27"/>
      <c r="E460" s="27"/>
    </row>
    <row r="461">
      <c r="A461" s="27"/>
      <c r="B461" s="52"/>
      <c r="C461" s="27"/>
      <c r="D461" s="27"/>
      <c r="E461" s="27"/>
    </row>
    <row r="462">
      <c r="A462" s="27"/>
      <c r="B462" s="52"/>
      <c r="C462" s="27"/>
      <c r="D462" s="27"/>
      <c r="E462" s="27"/>
    </row>
    <row r="463">
      <c r="A463" s="27"/>
      <c r="B463" s="52"/>
      <c r="C463" s="27"/>
      <c r="D463" s="27"/>
      <c r="E463" s="27"/>
    </row>
    <row r="464">
      <c r="A464" s="27"/>
      <c r="B464" s="52"/>
      <c r="C464" s="27"/>
      <c r="D464" s="27"/>
      <c r="E464" s="27"/>
    </row>
    <row r="465">
      <c r="A465" s="27"/>
      <c r="B465" s="52"/>
      <c r="C465" s="27"/>
      <c r="D465" s="27"/>
      <c r="E465" s="27"/>
    </row>
    <row r="466">
      <c r="A466" s="27"/>
      <c r="B466" s="52"/>
      <c r="C466" s="27"/>
      <c r="D466" s="27"/>
      <c r="E466" s="27"/>
    </row>
    <row r="467">
      <c r="A467" s="27"/>
      <c r="B467" s="52"/>
      <c r="C467" s="27"/>
      <c r="D467" s="27"/>
      <c r="E467" s="27"/>
    </row>
    <row r="468">
      <c r="A468" s="27"/>
      <c r="B468" s="52"/>
      <c r="C468" s="27"/>
      <c r="D468" s="27"/>
      <c r="E468" s="27"/>
    </row>
    <row r="469">
      <c r="A469" s="27"/>
      <c r="B469" s="52"/>
      <c r="C469" s="27"/>
      <c r="D469" s="27"/>
      <c r="E469" s="27"/>
    </row>
    <row r="470">
      <c r="A470" s="27"/>
      <c r="B470" s="52"/>
      <c r="C470" s="27"/>
      <c r="D470" s="27"/>
      <c r="E470" s="27"/>
    </row>
    <row r="471">
      <c r="A471" s="27"/>
      <c r="B471" s="52"/>
      <c r="C471" s="27"/>
      <c r="D471" s="27"/>
      <c r="E471" s="27"/>
    </row>
    <row r="472">
      <c r="A472" s="27"/>
      <c r="B472" s="52"/>
      <c r="C472" s="27"/>
      <c r="D472" s="27"/>
      <c r="E472" s="27"/>
    </row>
    <row r="473">
      <c r="A473" s="27"/>
      <c r="B473" s="52"/>
      <c r="C473" s="27"/>
      <c r="D473" s="27"/>
      <c r="E473" s="27"/>
    </row>
    <row r="474">
      <c r="A474" s="27"/>
      <c r="B474" s="52"/>
      <c r="C474" s="27"/>
      <c r="D474" s="27"/>
      <c r="E474" s="27"/>
    </row>
    <row r="475">
      <c r="A475" s="27"/>
      <c r="B475" s="52"/>
      <c r="C475" s="27"/>
      <c r="D475" s="27"/>
      <c r="E475" s="27"/>
    </row>
    <row r="476">
      <c r="A476" s="27"/>
      <c r="B476" s="52"/>
      <c r="C476" s="27"/>
      <c r="D476" s="27"/>
      <c r="E476" s="27"/>
    </row>
    <row r="477">
      <c r="A477" s="27"/>
      <c r="B477" s="52"/>
      <c r="C477" s="27"/>
      <c r="D477" s="27"/>
      <c r="E477" s="27"/>
    </row>
    <row r="478">
      <c r="A478" s="27"/>
      <c r="B478" s="52"/>
      <c r="C478" s="27"/>
      <c r="D478" s="27"/>
      <c r="E478" s="27"/>
    </row>
    <row r="479">
      <c r="A479" s="27"/>
      <c r="B479" s="52"/>
      <c r="C479" s="27"/>
      <c r="D479" s="27"/>
      <c r="E479" s="27"/>
    </row>
    <row r="480">
      <c r="A480" s="27"/>
      <c r="B480" s="52"/>
      <c r="C480" s="27"/>
      <c r="D480" s="27"/>
      <c r="E480" s="27"/>
    </row>
    <row r="481">
      <c r="A481" s="27"/>
      <c r="B481" s="52"/>
      <c r="C481" s="27"/>
      <c r="D481" s="27"/>
      <c r="E481" s="27"/>
    </row>
    <row r="482">
      <c r="A482" s="27"/>
      <c r="B482" s="52"/>
      <c r="C482" s="27"/>
      <c r="D482" s="27"/>
      <c r="E482" s="27"/>
    </row>
    <row r="483">
      <c r="A483" s="27"/>
      <c r="B483" s="52"/>
      <c r="C483" s="27"/>
      <c r="D483" s="27"/>
      <c r="E483" s="27"/>
    </row>
    <row r="484">
      <c r="A484" s="27"/>
      <c r="B484" s="52"/>
      <c r="C484" s="27"/>
      <c r="D484" s="27"/>
      <c r="E484" s="27"/>
    </row>
    <row r="485">
      <c r="A485" s="27"/>
      <c r="B485" s="52"/>
      <c r="C485" s="27"/>
      <c r="D485" s="27"/>
      <c r="E485" s="27"/>
    </row>
    <row r="486">
      <c r="A486" s="27"/>
      <c r="B486" s="52"/>
      <c r="C486" s="27"/>
      <c r="D486" s="27"/>
      <c r="E486" s="27"/>
    </row>
    <row r="487">
      <c r="A487" s="27"/>
      <c r="B487" s="52"/>
      <c r="C487" s="27"/>
      <c r="D487" s="27"/>
      <c r="E487" s="27"/>
    </row>
    <row r="488">
      <c r="A488" s="27"/>
      <c r="B488" s="52"/>
      <c r="C488" s="27"/>
      <c r="D488" s="27"/>
      <c r="E488" s="27"/>
    </row>
    <row r="489">
      <c r="A489" s="27"/>
      <c r="B489" s="52"/>
      <c r="C489" s="27"/>
      <c r="D489" s="27"/>
      <c r="E489" s="27"/>
    </row>
    <row r="490">
      <c r="A490" s="27"/>
      <c r="B490" s="52"/>
      <c r="C490" s="27"/>
      <c r="D490" s="27"/>
      <c r="E490" s="27"/>
    </row>
    <row r="491">
      <c r="A491" s="27"/>
      <c r="B491" s="52"/>
      <c r="C491" s="27"/>
      <c r="D491" s="27"/>
      <c r="E491" s="27"/>
    </row>
    <row r="492">
      <c r="A492" s="27"/>
      <c r="B492" s="52"/>
      <c r="C492" s="27"/>
      <c r="D492" s="27"/>
      <c r="E492" s="27"/>
    </row>
    <row r="493">
      <c r="A493" s="27"/>
      <c r="B493" s="52"/>
      <c r="C493" s="27"/>
      <c r="D493" s="27"/>
      <c r="E493" s="27"/>
    </row>
    <row r="494">
      <c r="A494" s="27"/>
      <c r="B494" s="52"/>
      <c r="C494" s="27"/>
      <c r="D494" s="27"/>
      <c r="E494" s="27"/>
    </row>
    <row r="495">
      <c r="A495" s="27"/>
      <c r="B495" s="52"/>
      <c r="C495" s="27"/>
      <c r="D495" s="27"/>
      <c r="E495" s="27"/>
    </row>
    <row r="496">
      <c r="A496" s="27"/>
      <c r="B496" s="52"/>
      <c r="C496" s="27"/>
      <c r="D496" s="27"/>
      <c r="E496" s="27"/>
    </row>
    <row r="497">
      <c r="A497" s="27"/>
      <c r="B497" s="52"/>
      <c r="C497" s="27"/>
      <c r="D497" s="27"/>
      <c r="E497" s="27"/>
    </row>
    <row r="498">
      <c r="A498" s="27"/>
      <c r="B498" s="52"/>
      <c r="C498" s="27"/>
      <c r="D498" s="27"/>
      <c r="E498" s="27"/>
    </row>
    <row r="499">
      <c r="A499" s="27"/>
      <c r="B499" s="52"/>
      <c r="C499" s="27"/>
      <c r="D499" s="27"/>
      <c r="E499" s="27"/>
    </row>
    <row r="500">
      <c r="A500" s="27"/>
      <c r="B500" s="52"/>
      <c r="C500" s="27"/>
      <c r="D500" s="27"/>
      <c r="E500" s="27"/>
    </row>
    <row r="501">
      <c r="A501" s="27"/>
      <c r="B501" s="52"/>
      <c r="C501" s="27"/>
      <c r="D501" s="27"/>
      <c r="E501" s="27"/>
    </row>
    <row r="502">
      <c r="A502" s="27"/>
      <c r="B502" s="52"/>
      <c r="C502" s="27"/>
      <c r="D502" s="27"/>
      <c r="E502" s="27"/>
    </row>
    <row r="503">
      <c r="A503" s="27"/>
      <c r="B503" s="52"/>
      <c r="C503" s="27"/>
      <c r="D503" s="27"/>
      <c r="E503" s="27"/>
    </row>
    <row r="504">
      <c r="A504" s="27"/>
      <c r="B504" s="52"/>
      <c r="C504" s="27"/>
      <c r="D504" s="27"/>
      <c r="E504" s="27"/>
    </row>
    <row r="505">
      <c r="A505" s="27"/>
      <c r="B505" s="52"/>
      <c r="C505" s="27"/>
      <c r="D505" s="27"/>
      <c r="E505" s="27"/>
    </row>
    <row r="506">
      <c r="A506" s="27"/>
      <c r="B506" s="52"/>
      <c r="C506" s="27"/>
      <c r="D506" s="27"/>
      <c r="E506" s="27"/>
    </row>
    <row r="507">
      <c r="A507" s="27"/>
      <c r="B507" s="52"/>
      <c r="C507" s="27"/>
      <c r="D507" s="27"/>
      <c r="E507" s="27"/>
    </row>
    <row r="508">
      <c r="A508" s="27"/>
      <c r="B508" s="52"/>
      <c r="C508" s="27"/>
      <c r="D508" s="27"/>
      <c r="E508" s="27"/>
    </row>
    <row r="509">
      <c r="A509" s="27"/>
      <c r="B509" s="52"/>
      <c r="C509" s="27"/>
      <c r="D509" s="27"/>
      <c r="E509" s="27"/>
    </row>
    <row r="510">
      <c r="A510" s="27"/>
      <c r="B510" s="52"/>
      <c r="C510" s="27"/>
      <c r="D510" s="27"/>
      <c r="E510" s="27"/>
    </row>
    <row r="511">
      <c r="A511" s="27"/>
      <c r="B511" s="52"/>
      <c r="C511" s="27"/>
      <c r="D511" s="27"/>
      <c r="E511" s="27"/>
    </row>
    <row r="512">
      <c r="A512" s="27"/>
      <c r="B512" s="52"/>
      <c r="C512" s="27"/>
      <c r="D512" s="27"/>
      <c r="E512" s="27"/>
    </row>
    <row r="513">
      <c r="A513" s="27"/>
      <c r="B513" s="52"/>
      <c r="C513" s="27"/>
      <c r="D513" s="27"/>
      <c r="E513" s="27"/>
    </row>
    <row r="514">
      <c r="A514" s="27"/>
      <c r="B514" s="52"/>
      <c r="C514" s="27"/>
      <c r="D514" s="27"/>
      <c r="E514" s="27"/>
    </row>
    <row r="515">
      <c r="A515" s="27"/>
      <c r="B515" s="52"/>
      <c r="C515" s="27"/>
      <c r="D515" s="27"/>
      <c r="E515" s="27"/>
    </row>
    <row r="516">
      <c r="A516" s="27"/>
      <c r="B516" s="52"/>
      <c r="C516" s="27"/>
      <c r="D516" s="27"/>
      <c r="E516" s="27"/>
    </row>
    <row r="517">
      <c r="A517" s="27"/>
      <c r="B517" s="52"/>
      <c r="C517" s="27"/>
      <c r="D517" s="27"/>
      <c r="E517" s="27"/>
    </row>
    <row r="518">
      <c r="A518" s="27"/>
      <c r="B518" s="52"/>
      <c r="C518" s="27"/>
      <c r="D518" s="27"/>
      <c r="E518" s="27"/>
    </row>
    <row r="519">
      <c r="A519" s="27"/>
      <c r="B519" s="52"/>
      <c r="C519" s="27"/>
      <c r="D519" s="27"/>
      <c r="E519" s="27"/>
    </row>
    <row r="520">
      <c r="A520" s="27"/>
      <c r="B520" s="52"/>
      <c r="C520" s="27"/>
      <c r="D520" s="27"/>
      <c r="E520" s="27"/>
    </row>
    <row r="521">
      <c r="A521" s="27"/>
      <c r="B521" s="52"/>
      <c r="C521" s="27"/>
      <c r="D521" s="27"/>
      <c r="E521" s="27"/>
    </row>
    <row r="522">
      <c r="A522" s="27"/>
      <c r="B522" s="52"/>
      <c r="C522" s="27"/>
      <c r="D522" s="27"/>
      <c r="E522" s="27"/>
    </row>
    <row r="523">
      <c r="A523" s="27"/>
      <c r="B523" s="52"/>
      <c r="C523" s="27"/>
      <c r="D523" s="27"/>
      <c r="E523" s="27"/>
    </row>
    <row r="524">
      <c r="A524" s="27"/>
      <c r="B524" s="52"/>
      <c r="C524" s="27"/>
      <c r="D524" s="27"/>
      <c r="E524" s="27"/>
    </row>
    <row r="525">
      <c r="A525" s="27"/>
      <c r="B525" s="52"/>
      <c r="C525" s="27"/>
      <c r="D525" s="27"/>
      <c r="E525" s="27"/>
    </row>
    <row r="526">
      <c r="A526" s="27"/>
      <c r="B526" s="52"/>
      <c r="C526" s="27"/>
      <c r="D526" s="27"/>
      <c r="E526" s="27"/>
    </row>
    <row r="527">
      <c r="A527" s="27"/>
      <c r="B527" s="52"/>
      <c r="C527" s="27"/>
      <c r="D527" s="27"/>
      <c r="E527" s="27"/>
    </row>
    <row r="528">
      <c r="A528" s="27"/>
      <c r="B528" s="52"/>
      <c r="C528" s="27"/>
      <c r="D528" s="27"/>
      <c r="E528" s="27"/>
    </row>
    <row r="529">
      <c r="A529" s="27"/>
      <c r="B529" s="52"/>
      <c r="C529" s="27"/>
      <c r="D529" s="27"/>
      <c r="E529" s="27"/>
    </row>
    <row r="530">
      <c r="A530" s="27"/>
      <c r="B530" s="52"/>
      <c r="C530" s="27"/>
      <c r="D530" s="27"/>
      <c r="E530" s="27"/>
    </row>
    <row r="531">
      <c r="A531" s="27"/>
      <c r="B531" s="52"/>
      <c r="C531" s="27"/>
      <c r="D531" s="27"/>
      <c r="E531" s="27"/>
    </row>
    <row r="532">
      <c r="A532" s="27"/>
      <c r="B532" s="52"/>
      <c r="C532" s="27"/>
      <c r="D532" s="27"/>
      <c r="E532" s="27"/>
    </row>
    <row r="533">
      <c r="A533" s="27"/>
      <c r="B533" s="52"/>
      <c r="C533" s="27"/>
      <c r="D533" s="27"/>
      <c r="E533" s="27"/>
    </row>
    <row r="534">
      <c r="A534" s="27"/>
      <c r="B534" s="52"/>
      <c r="C534" s="27"/>
      <c r="D534" s="27"/>
      <c r="E534" s="27"/>
    </row>
    <row r="535">
      <c r="A535" s="27"/>
      <c r="B535" s="52"/>
      <c r="C535" s="27"/>
      <c r="D535" s="27"/>
      <c r="E535" s="27"/>
    </row>
    <row r="536">
      <c r="A536" s="27"/>
      <c r="B536" s="52"/>
      <c r="C536" s="27"/>
      <c r="D536" s="27"/>
      <c r="E536" s="27"/>
    </row>
    <row r="537">
      <c r="A537" s="27"/>
      <c r="B537" s="52"/>
      <c r="C537" s="27"/>
      <c r="D537" s="27"/>
      <c r="E537" s="27"/>
    </row>
    <row r="538">
      <c r="A538" s="27"/>
      <c r="B538" s="52"/>
      <c r="C538" s="27"/>
      <c r="D538" s="27"/>
      <c r="E538" s="27"/>
    </row>
    <row r="539">
      <c r="A539" s="27"/>
      <c r="B539" s="52"/>
      <c r="C539" s="27"/>
      <c r="D539" s="27"/>
      <c r="E539" s="27"/>
    </row>
    <row r="540">
      <c r="A540" s="27"/>
      <c r="B540" s="52"/>
      <c r="C540" s="27"/>
      <c r="D540" s="27"/>
      <c r="E540" s="27"/>
    </row>
    <row r="541">
      <c r="A541" s="27"/>
      <c r="B541" s="52"/>
      <c r="C541" s="27"/>
      <c r="D541" s="27"/>
      <c r="E541" s="27"/>
    </row>
    <row r="542">
      <c r="A542" s="27"/>
      <c r="B542" s="52"/>
      <c r="C542" s="27"/>
      <c r="D542" s="27"/>
      <c r="E542" s="27"/>
    </row>
    <row r="543">
      <c r="A543" s="27"/>
      <c r="B543" s="52"/>
      <c r="C543" s="27"/>
      <c r="D543" s="27"/>
      <c r="E543" s="27"/>
    </row>
    <row r="544">
      <c r="A544" s="27"/>
      <c r="B544" s="52"/>
      <c r="C544" s="27"/>
      <c r="D544" s="27"/>
      <c r="E544" s="27"/>
    </row>
    <row r="545">
      <c r="A545" s="27"/>
      <c r="B545" s="52"/>
      <c r="C545" s="27"/>
      <c r="D545" s="27"/>
      <c r="E545" s="27"/>
    </row>
    <row r="546">
      <c r="A546" s="27"/>
      <c r="B546" s="52"/>
      <c r="C546" s="27"/>
      <c r="D546" s="27"/>
      <c r="E546" s="27"/>
    </row>
    <row r="547">
      <c r="A547" s="27"/>
      <c r="B547" s="52"/>
      <c r="C547" s="27"/>
      <c r="D547" s="27"/>
      <c r="E547" s="27"/>
    </row>
    <row r="548">
      <c r="A548" s="27"/>
      <c r="B548" s="52"/>
      <c r="C548" s="27"/>
      <c r="D548" s="27"/>
      <c r="E548" s="27"/>
    </row>
    <row r="549">
      <c r="A549" s="27"/>
      <c r="B549" s="52"/>
      <c r="C549" s="27"/>
      <c r="D549" s="27"/>
      <c r="E549" s="27"/>
    </row>
    <row r="550">
      <c r="A550" s="27"/>
      <c r="B550" s="52"/>
      <c r="C550" s="27"/>
      <c r="D550" s="27"/>
      <c r="E550" s="27"/>
    </row>
    <row r="551">
      <c r="A551" s="27"/>
      <c r="B551" s="52"/>
      <c r="C551" s="27"/>
      <c r="D551" s="27"/>
      <c r="E551" s="27"/>
    </row>
    <row r="552">
      <c r="A552" s="27"/>
      <c r="B552" s="52"/>
      <c r="C552" s="27"/>
      <c r="D552" s="27"/>
      <c r="E552" s="27"/>
    </row>
    <row r="553">
      <c r="A553" s="27"/>
      <c r="B553" s="52"/>
      <c r="C553" s="27"/>
      <c r="D553" s="27"/>
      <c r="E553" s="27"/>
    </row>
    <row r="554">
      <c r="A554" s="27"/>
      <c r="B554" s="52"/>
      <c r="C554" s="27"/>
      <c r="D554" s="27"/>
      <c r="E554" s="27"/>
    </row>
    <row r="555">
      <c r="A555" s="27"/>
      <c r="B555" s="52"/>
      <c r="C555" s="27"/>
      <c r="D555" s="27"/>
      <c r="E555" s="27"/>
    </row>
    <row r="556">
      <c r="A556" s="27"/>
      <c r="B556" s="52"/>
      <c r="C556" s="27"/>
      <c r="D556" s="27"/>
      <c r="E556" s="27"/>
    </row>
    <row r="557">
      <c r="A557" s="27"/>
      <c r="B557" s="52"/>
      <c r="C557" s="27"/>
      <c r="D557" s="27"/>
      <c r="E557" s="27"/>
    </row>
    <row r="558">
      <c r="A558" s="27"/>
      <c r="B558" s="52"/>
      <c r="C558" s="27"/>
      <c r="D558" s="27"/>
      <c r="E558" s="27"/>
    </row>
    <row r="559">
      <c r="A559" s="27"/>
      <c r="B559" s="52"/>
      <c r="C559" s="27"/>
      <c r="D559" s="27"/>
      <c r="E559" s="27"/>
    </row>
    <row r="560">
      <c r="A560" s="27"/>
      <c r="B560" s="52"/>
      <c r="C560" s="27"/>
      <c r="D560" s="27"/>
      <c r="E560" s="27"/>
    </row>
    <row r="561">
      <c r="A561" s="27"/>
      <c r="B561" s="52"/>
      <c r="C561" s="27"/>
      <c r="D561" s="27"/>
      <c r="E561" s="27"/>
    </row>
    <row r="562">
      <c r="A562" s="27"/>
      <c r="B562" s="52"/>
      <c r="C562" s="27"/>
      <c r="D562" s="27"/>
      <c r="E562" s="27"/>
    </row>
    <row r="563">
      <c r="A563" s="27"/>
      <c r="B563" s="52"/>
      <c r="C563" s="27"/>
      <c r="D563" s="27"/>
      <c r="E563" s="27"/>
    </row>
    <row r="564">
      <c r="A564" s="27"/>
      <c r="B564" s="52"/>
      <c r="C564" s="27"/>
      <c r="D564" s="27"/>
      <c r="E564" s="27"/>
    </row>
    <row r="565">
      <c r="A565" s="27"/>
      <c r="B565" s="52"/>
      <c r="C565" s="27"/>
      <c r="D565" s="27"/>
      <c r="E565" s="27"/>
    </row>
    <row r="566">
      <c r="A566" s="27"/>
      <c r="B566" s="52"/>
      <c r="C566" s="27"/>
      <c r="D566" s="27"/>
      <c r="E566" s="27"/>
    </row>
    <row r="567">
      <c r="A567" s="27"/>
      <c r="B567" s="52"/>
      <c r="C567" s="27"/>
      <c r="D567" s="27"/>
      <c r="E567" s="27"/>
    </row>
    <row r="568">
      <c r="A568" s="27"/>
      <c r="B568" s="52"/>
      <c r="C568" s="27"/>
      <c r="D568" s="27"/>
      <c r="E568" s="27"/>
    </row>
    <row r="569">
      <c r="A569" s="27"/>
      <c r="B569" s="52"/>
      <c r="C569" s="27"/>
      <c r="D569" s="27"/>
      <c r="E569" s="27"/>
    </row>
    <row r="570">
      <c r="A570" s="27"/>
      <c r="B570" s="52"/>
      <c r="C570" s="27"/>
      <c r="D570" s="27"/>
      <c r="E570" s="27"/>
    </row>
    <row r="571">
      <c r="A571" s="27"/>
      <c r="B571" s="52"/>
      <c r="C571" s="27"/>
      <c r="D571" s="27"/>
      <c r="E571" s="27"/>
    </row>
    <row r="572">
      <c r="A572" s="27"/>
      <c r="B572" s="52"/>
      <c r="C572" s="27"/>
      <c r="D572" s="27"/>
      <c r="E572" s="27"/>
    </row>
    <row r="573">
      <c r="A573" s="27"/>
      <c r="B573" s="52"/>
      <c r="C573" s="27"/>
      <c r="D573" s="27"/>
      <c r="E573" s="27"/>
    </row>
    <row r="574">
      <c r="A574" s="27"/>
      <c r="B574" s="52"/>
      <c r="C574" s="27"/>
      <c r="D574" s="27"/>
      <c r="E574" s="27"/>
    </row>
    <row r="575">
      <c r="A575" s="27"/>
      <c r="B575" s="52"/>
      <c r="C575" s="27"/>
      <c r="D575" s="27"/>
      <c r="E575" s="27"/>
    </row>
    <row r="576">
      <c r="A576" s="27"/>
      <c r="B576" s="52"/>
      <c r="C576" s="27"/>
      <c r="D576" s="27"/>
      <c r="E576" s="27"/>
    </row>
    <row r="577">
      <c r="A577" s="27"/>
      <c r="B577" s="52"/>
      <c r="C577" s="27"/>
      <c r="D577" s="27"/>
      <c r="E577" s="27"/>
    </row>
    <row r="578">
      <c r="A578" s="27"/>
      <c r="B578" s="52"/>
      <c r="C578" s="27"/>
      <c r="D578" s="27"/>
      <c r="E578" s="27"/>
    </row>
    <row r="579">
      <c r="A579" s="27"/>
      <c r="B579" s="52"/>
      <c r="C579" s="27"/>
      <c r="D579" s="27"/>
      <c r="E579" s="27"/>
    </row>
    <row r="580">
      <c r="A580" s="27"/>
      <c r="B580" s="52"/>
      <c r="C580" s="27"/>
      <c r="D580" s="27"/>
      <c r="E580" s="27"/>
    </row>
    <row r="581">
      <c r="A581" s="27"/>
      <c r="B581" s="52"/>
      <c r="C581" s="27"/>
      <c r="D581" s="27"/>
      <c r="E581" s="27"/>
    </row>
    <row r="582">
      <c r="A582" s="27"/>
      <c r="B582" s="52"/>
      <c r="C582" s="27"/>
      <c r="D582" s="27"/>
      <c r="E582" s="27"/>
    </row>
    <row r="583">
      <c r="A583" s="27"/>
      <c r="B583" s="52"/>
      <c r="C583" s="27"/>
      <c r="D583" s="27"/>
      <c r="E583" s="27"/>
    </row>
    <row r="584">
      <c r="A584" s="27"/>
      <c r="B584" s="52"/>
      <c r="C584" s="27"/>
      <c r="D584" s="27"/>
      <c r="E584" s="27"/>
    </row>
    <row r="585">
      <c r="A585" s="27"/>
      <c r="B585" s="52"/>
      <c r="C585" s="27"/>
      <c r="D585" s="27"/>
      <c r="E585" s="27"/>
    </row>
    <row r="586">
      <c r="A586" s="27"/>
      <c r="B586" s="52"/>
      <c r="C586" s="27"/>
      <c r="D586" s="27"/>
      <c r="E586" s="27"/>
    </row>
    <row r="587">
      <c r="A587" s="27"/>
      <c r="B587" s="52"/>
      <c r="C587" s="27"/>
      <c r="D587" s="27"/>
      <c r="E587" s="27"/>
    </row>
    <row r="588">
      <c r="A588" s="27"/>
      <c r="B588" s="52"/>
      <c r="C588" s="27"/>
      <c r="D588" s="27"/>
      <c r="E588" s="27"/>
    </row>
    <row r="589">
      <c r="A589" s="27"/>
      <c r="B589" s="52"/>
      <c r="C589" s="27"/>
      <c r="D589" s="27"/>
      <c r="E589" s="27"/>
    </row>
    <row r="590">
      <c r="A590" s="27"/>
      <c r="B590" s="52"/>
      <c r="C590" s="27"/>
      <c r="D590" s="27"/>
      <c r="E590" s="27"/>
    </row>
    <row r="591">
      <c r="A591" s="27"/>
      <c r="B591" s="52"/>
      <c r="C591" s="27"/>
      <c r="D591" s="27"/>
      <c r="E591" s="27"/>
    </row>
    <row r="592">
      <c r="A592" s="27"/>
      <c r="B592" s="52"/>
      <c r="C592" s="27"/>
      <c r="D592" s="27"/>
      <c r="E592" s="27"/>
    </row>
    <row r="593">
      <c r="A593" s="27"/>
      <c r="B593" s="52"/>
      <c r="C593" s="27"/>
      <c r="D593" s="27"/>
      <c r="E593" s="27"/>
    </row>
    <row r="594">
      <c r="A594" s="27"/>
      <c r="B594" s="52"/>
      <c r="C594" s="27"/>
      <c r="D594" s="27"/>
      <c r="E594" s="27"/>
    </row>
    <row r="595">
      <c r="A595" s="27"/>
      <c r="B595" s="52"/>
      <c r="C595" s="27"/>
      <c r="D595" s="27"/>
      <c r="E595" s="27"/>
    </row>
    <row r="596">
      <c r="A596" s="27"/>
      <c r="B596" s="52"/>
      <c r="C596" s="27"/>
      <c r="D596" s="27"/>
      <c r="E596" s="27"/>
    </row>
    <row r="597">
      <c r="A597" s="27"/>
      <c r="B597" s="52"/>
      <c r="C597" s="27"/>
      <c r="D597" s="27"/>
      <c r="E597" s="27"/>
    </row>
    <row r="598">
      <c r="A598" s="27"/>
      <c r="B598" s="52"/>
      <c r="C598" s="27"/>
      <c r="D598" s="27"/>
      <c r="E598" s="27"/>
    </row>
    <row r="599">
      <c r="A599" s="27"/>
      <c r="B599" s="52"/>
      <c r="C599" s="27"/>
      <c r="D599" s="27"/>
      <c r="E599" s="27"/>
    </row>
    <row r="600">
      <c r="A600" s="27"/>
      <c r="B600" s="52"/>
      <c r="C600" s="27"/>
      <c r="D600" s="27"/>
      <c r="E600" s="27"/>
    </row>
    <row r="601">
      <c r="A601" s="27"/>
      <c r="B601" s="52"/>
      <c r="C601" s="27"/>
      <c r="D601" s="27"/>
      <c r="E601" s="27"/>
    </row>
    <row r="602">
      <c r="A602" s="27"/>
      <c r="B602" s="52"/>
      <c r="C602" s="27"/>
      <c r="D602" s="27"/>
      <c r="E602" s="27"/>
    </row>
    <row r="603">
      <c r="A603" s="27"/>
      <c r="B603" s="52"/>
      <c r="C603" s="27"/>
      <c r="D603" s="27"/>
      <c r="E603" s="27"/>
    </row>
    <row r="604">
      <c r="A604" s="27"/>
      <c r="B604" s="52"/>
      <c r="C604" s="27"/>
      <c r="D604" s="27"/>
      <c r="E604" s="27"/>
    </row>
    <row r="605">
      <c r="A605" s="27"/>
      <c r="B605" s="52"/>
      <c r="C605" s="27"/>
      <c r="D605" s="27"/>
      <c r="E605" s="27"/>
    </row>
    <row r="606">
      <c r="A606" s="27"/>
      <c r="B606" s="52"/>
      <c r="C606" s="27"/>
      <c r="D606" s="27"/>
      <c r="E606" s="27"/>
    </row>
    <row r="607">
      <c r="A607" s="27"/>
      <c r="B607" s="52"/>
      <c r="C607" s="27"/>
      <c r="D607" s="27"/>
      <c r="E607" s="27"/>
    </row>
    <row r="608">
      <c r="A608" s="27"/>
      <c r="B608" s="52"/>
      <c r="C608" s="27"/>
      <c r="D608" s="27"/>
      <c r="E608" s="27"/>
    </row>
    <row r="609">
      <c r="A609" s="27"/>
      <c r="B609" s="52"/>
      <c r="C609" s="27"/>
      <c r="D609" s="27"/>
      <c r="E609" s="27"/>
    </row>
    <row r="610">
      <c r="A610" s="27"/>
      <c r="B610" s="52"/>
      <c r="C610" s="27"/>
      <c r="D610" s="27"/>
      <c r="E610" s="27"/>
    </row>
    <row r="611">
      <c r="A611" s="27"/>
      <c r="B611" s="52"/>
      <c r="C611" s="27"/>
      <c r="D611" s="27"/>
      <c r="E611" s="27"/>
    </row>
    <row r="612">
      <c r="A612" s="27"/>
      <c r="B612" s="52"/>
      <c r="C612" s="27"/>
      <c r="D612" s="27"/>
      <c r="E612" s="27"/>
    </row>
    <row r="613">
      <c r="A613" s="27"/>
      <c r="B613" s="52"/>
      <c r="C613" s="27"/>
      <c r="D613" s="27"/>
      <c r="E613" s="27"/>
    </row>
    <row r="614">
      <c r="A614" s="27"/>
      <c r="B614" s="52"/>
      <c r="C614" s="27"/>
      <c r="D614" s="27"/>
      <c r="E614" s="27"/>
    </row>
    <row r="615">
      <c r="A615" s="27"/>
      <c r="B615" s="52"/>
      <c r="C615" s="27"/>
      <c r="D615" s="27"/>
      <c r="E615" s="27"/>
    </row>
    <row r="616">
      <c r="A616" s="27"/>
      <c r="B616" s="52"/>
      <c r="C616" s="27"/>
      <c r="D616" s="27"/>
      <c r="E616" s="27"/>
    </row>
    <row r="617">
      <c r="A617" s="27"/>
      <c r="B617" s="52"/>
      <c r="C617" s="27"/>
      <c r="D617" s="27"/>
      <c r="E617" s="27"/>
    </row>
    <row r="618">
      <c r="A618" s="27"/>
      <c r="B618" s="52"/>
      <c r="C618" s="27"/>
      <c r="D618" s="27"/>
      <c r="E618" s="27"/>
    </row>
    <row r="619">
      <c r="A619" s="27"/>
      <c r="B619" s="52"/>
      <c r="C619" s="27"/>
      <c r="D619" s="27"/>
      <c r="E619" s="27"/>
    </row>
    <row r="620">
      <c r="A620" s="27"/>
      <c r="B620" s="52"/>
      <c r="C620" s="27"/>
      <c r="D620" s="27"/>
      <c r="E620" s="27"/>
    </row>
    <row r="621">
      <c r="A621" s="27"/>
      <c r="B621" s="52"/>
      <c r="C621" s="27"/>
      <c r="D621" s="27"/>
      <c r="E621" s="27"/>
    </row>
    <row r="622">
      <c r="A622" s="27"/>
      <c r="B622" s="52"/>
      <c r="C622" s="27"/>
      <c r="D622" s="27"/>
      <c r="E622" s="27"/>
    </row>
    <row r="623">
      <c r="A623" s="27"/>
      <c r="B623" s="52"/>
      <c r="C623" s="27"/>
      <c r="D623" s="27"/>
      <c r="E623" s="27"/>
    </row>
    <row r="624">
      <c r="A624" s="27"/>
      <c r="B624" s="52"/>
      <c r="C624" s="27"/>
      <c r="D624" s="27"/>
      <c r="E624" s="27"/>
    </row>
    <row r="625">
      <c r="A625" s="27"/>
      <c r="B625" s="52"/>
      <c r="C625" s="27"/>
      <c r="D625" s="27"/>
      <c r="E625" s="27"/>
    </row>
    <row r="626">
      <c r="A626" s="27"/>
      <c r="B626" s="52"/>
      <c r="C626" s="27"/>
      <c r="D626" s="27"/>
      <c r="E626" s="27"/>
    </row>
    <row r="627">
      <c r="A627" s="27"/>
      <c r="B627" s="52"/>
      <c r="C627" s="27"/>
      <c r="D627" s="27"/>
      <c r="E627" s="27"/>
    </row>
    <row r="628">
      <c r="A628" s="27"/>
      <c r="B628" s="52"/>
      <c r="C628" s="27"/>
      <c r="D628" s="27"/>
      <c r="E628" s="27"/>
    </row>
    <row r="629">
      <c r="A629" s="27"/>
      <c r="B629" s="52"/>
      <c r="C629" s="27"/>
      <c r="D629" s="27"/>
      <c r="E629" s="27"/>
    </row>
    <row r="630">
      <c r="A630" s="27"/>
      <c r="B630" s="52"/>
      <c r="C630" s="27"/>
      <c r="D630" s="27"/>
      <c r="E630" s="27"/>
    </row>
    <row r="631">
      <c r="A631" s="27"/>
      <c r="B631" s="52"/>
      <c r="C631" s="27"/>
      <c r="D631" s="27"/>
      <c r="E631" s="27"/>
    </row>
    <row r="632">
      <c r="A632" s="27"/>
      <c r="B632" s="52"/>
      <c r="C632" s="27"/>
      <c r="D632" s="27"/>
      <c r="E632" s="27"/>
    </row>
    <row r="633">
      <c r="A633" s="27"/>
      <c r="B633" s="52"/>
      <c r="C633" s="27"/>
      <c r="D633" s="27"/>
      <c r="E633" s="27"/>
    </row>
    <row r="634">
      <c r="A634" s="27"/>
      <c r="B634" s="52"/>
      <c r="C634" s="27"/>
      <c r="D634" s="27"/>
      <c r="E634" s="27"/>
    </row>
    <row r="635">
      <c r="A635" s="27"/>
      <c r="B635" s="52"/>
      <c r="C635" s="27"/>
      <c r="D635" s="27"/>
      <c r="E635" s="27"/>
    </row>
    <row r="636">
      <c r="A636" s="27"/>
      <c r="B636" s="52"/>
      <c r="C636" s="27"/>
      <c r="D636" s="27"/>
      <c r="E636" s="27"/>
    </row>
    <row r="637">
      <c r="A637" s="27"/>
      <c r="B637" s="52"/>
      <c r="C637" s="27"/>
      <c r="D637" s="27"/>
      <c r="E637" s="27"/>
    </row>
    <row r="638">
      <c r="A638" s="27"/>
      <c r="B638" s="52"/>
      <c r="C638" s="27"/>
      <c r="D638" s="27"/>
      <c r="E638" s="27"/>
    </row>
    <row r="639">
      <c r="A639" s="27"/>
      <c r="B639" s="52"/>
      <c r="C639" s="27"/>
      <c r="D639" s="27"/>
      <c r="E639" s="27"/>
    </row>
    <row r="640">
      <c r="A640" s="27"/>
      <c r="B640" s="52"/>
      <c r="C640" s="27"/>
      <c r="D640" s="27"/>
      <c r="E640" s="27"/>
    </row>
    <row r="641">
      <c r="A641" s="27"/>
      <c r="B641" s="52"/>
      <c r="C641" s="27"/>
      <c r="D641" s="27"/>
      <c r="E641" s="27"/>
    </row>
    <row r="642">
      <c r="A642" s="27"/>
      <c r="B642" s="52"/>
      <c r="C642" s="27"/>
      <c r="D642" s="27"/>
      <c r="E642" s="27"/>
    </row>
    <row r="643">
      <c r="A643" s="27"/>
      <c r="B643" s="52"/>
      <c r="C643" s="27"/>
      <c r="D643" s="27"/>
      <c r="E643" s="27"/>
    </row>
    <row r="644">
      <c r="A644" s="27"/>
      <c r="B644" s="52"/>
      <c r="C644" s="27"/>
      <c r="D644" s="27"/>
      <c r="E644" s="27"/>
    </row>
    <row r="645">
      <c r="A645" s="27"/>
      <c r="B645" s="52"/>
      <c r="C645" s="27"/>
      <c r="D645" s="27"/>
      <c r="E645" s="27"/>
    </row>
    <row r="646">
      <c r="A646" s="27"/>
      <c r="B646" s="52"/>
      <c r="C646" s="27"/>
      <c r="D646" s="27"/>
      <c r="E646" s="27"/>
    </row>
    <row r="647">
      <c r="A647" s="27"/>
      <c r="B647" s="52"/>
      <c r="C647" s="27"/>
      <c r="D647" s="27"/>
      <c r="E647" s="27"/>
    </row>
    <row r="648">
      <c r="A648" s="27"/>
      <c r="B648" s="52"/>
      <c r="C648" s="27"/>
      <c r="D648" s="27"/>
      <c r="E648" s="27"/>
    </row>
    <row r="649">
      <c r="A649" s="27"/>
      <c r="B649" s="52"/>
      <c r="C649" s="27"/>
      <c r="D649" s="27"/>
      <c r="E649" s="27"/>
    </row>
    <row r="650">
      <c r="A650" s="27"/>
      <c r="B650" s="52"/>
      <c r="C650" s="27"/>
      <c r="D650" s="27"/>
      <c r="E650" s="27"/>
    </row>
    <row r="651">
      <c r="A651" s="27"/>
      <c r="B651" s="52"/>
      <c r="C651" s="27"/>
      <c r="D651" s="27"/>
      <c r="E651" s="27"/>
    </row>
    <row r="652">
      <c r="A652" s="27"/>
      <c r="B652" s="52"/>
      <c r="C652" s="27"/>
      <c r="D652" s="27"/>
      <c r="E652" s="27"/>
    </row>
    <row r="653">
      <c r="A653" s="27"/>
      <c r="B653" s="52"/>
      <c r="C653" s="27"/>
      <c r="D653" s="27"/>
      <c r="E653" s="27"/>
    </row>
    <row r="654">
      <c r="A654" s="27"/>
      <c r="B654" s="52"/>
      <c r="C654" s="27"/>
      <c r="D654" s="27"/>
      <c r="E654" s="27"/>
    </row>
    <row r="655">
      <c r="A655" s="27"/>
      <c r="B655" s="52"/>
      <c r="C655" s="27"/>
      <c r="D655" s="27"/>
      <c r="E655" s="27"/>
    </row>
    <row r="656">
      <c r="A656" s="27"/>
      <c r="B656" s="52"/>
      <c r="C656" s="27"/>
      <c r="D656" s="27"/>
      <c r="E656" s="27"/>
    </row>
    <row r="657">
      <c r="A657" s="27"/>
      <c r="B657" s="52"/>
      <c r="C657" s="27"/>
      <c r="D657" s="27"/>
      <c r="E657" s="27"/>
    </row>
    <row r="658">
      <c r="A658" s="27"/>
      <c r="B658" s="52"/>
      <c r="C658" s="27"/>
      <c r="D658" s="27"/>
      <c r="E658" s="27"/>
    </row>
    <row r="659">
      <c r="A659" s="27"/>
      <c r="B659" s="52"/>
      <c r="C659" s="27"/>
      <c r="D659" s="27"/>
      <c r="E659" s="27"/>
    </row>
    <row r="660">
      <c r="A660" s="27"/>
      <c r="B660" s="52"/>
      <c r="C660" s="27"/>
      <c r="D660" s="27"/>
      <c r="E660" s="27"/>
    </row>
    <row r="661">
      <c r="A661" s="27"/>
      <c r="B661" s="52"/>
      <c r="C661" s="27"/>
      <c r="D661" s="27"/>
      <c r="E661" s="27"/>
    </row>
    <row r="662">
      <c r="A662" s="27"/>
      <c r="B662" s="52"/>
      <c r="C662" s="27"/>
      <c r="D662" s="27"/>
      <c r="E662" s="27"/>
    </row>
    <row r="663">
      <c r="A663" s="27"/>
      <c r="B663" s="52"/>
      <c r="C663" s="27"/>
      <c r="D663" s="27"/>
      <c r="E663" s="27"/>
    </row>
    <row r="664">
      <c r="A664" s="27"/>
      <c r="B664" s="52"/>
      <c r="C664" s="27"/>
      <c r="D664" s="27"/>
      <c r="E664" s="27"/>
    </row>
    <row r="665">
      <c r="A665" s="27"/>
      <c r="B665" s="52"/>
      <c r="C665" s="27"/>
      <c r="D665" s="27"/>
      <c r="E665" s="27"/>
    </row>
    <row r="666">
      <c r="A666" s="27"/>
      <c r="B666" s="52"/>
      <c r="C666" s="27"/>
      <c r="D666" s="27"/>
      <c r="E666" s="27"/>
    </row>
    <row r="667">
      <c r="A667" s="27"/>
      <c r="B667" s="52"/>
      <c r="C667" s="27"/>
      <c r="D667" s="27"/>
      <c r="E667" s="27"/>
    </row>
    <row r="668">
      <c r="A668" s="27"/>
      <c r="B668" s="52"/>
      <c r="C668" s="27"/>
      <c r="D668" s="27"/>
      <c r="E668" s="27"/>
    </row>
    <row r="669">
      <c r="A669" s="27"/>
      <c r="B669" s="52"/>
      <c r="C669" s="27"/>
      <c r="D669" s="27"/>
      <c r="E669" s="27"/>
    </row>
    <row r="670">
      <c r="A670" s="27"/>
      <c r="B670" s="52"/>
      <c r="C670" s="27"/>
      <c r="D670" s="27"/>
      <c r="E670" s="27"/>
    </row>
    <row r="671">
      <c r="A671" s="27"/>
      <c r="B671" s="52"/>
      <c r="C671" s="27"/>
      <c r="D671" s="27"/>
      <c r="E671" s="27"/>
    </row>
    <row r="672">
      <c r="A672" s="27"/>
      <c r="B672" s="52"/>
      <c r="C672" s="27"/>
      <c r="D672" s="27"/>
      <c r="E672" s="27"/>
    </row>
    <row r="673">
      <c r="A673" s="27"/>
      <c r="B673" s="52"/>
      <c r="C673" s="27"/>
      <c r="D673" s="27"/>
      <c r="E673" s="27"/>
    </row>
    <row r="674">
      <c r="A674" s="27"/>
      <c r="B674" s="52"/>
      <c r="C674" s="27"/>
      <c r="D674" s="27"/>
      <c r="E674" s="27"/>
    </row>
    <row r="675">
      <c r="A675" s="27"/>
      <c r="B675" s="52"/>
      <c r="C675" s="27"/>
      <c r="D675" s="27"/>
      <c r="E675" s="27"/>
    </row>
    <row r="676">
      <c r="A676" s="27"/>
      <c r="B676" s="52"/>
      <c r="C676" s="27"/>
      <c r="D676" s="27"/>
      <c r="E676" s="27"/>
    </row>
    <row r="677">
      <c r="A677" s="27"/>
      <c r="B677" s="52"/>
      <c r="C677" s="27"/>
      <c r="D677" s="27"/>
      <c r="E677" s="27"/>
    </row>
    <row r="678">
      <c r="A678" s="27"/>
      <c r="B678" s="52"/>
      <c r="C678" s="27"/>
      <c r="D678" s="27"/>
      <c r="E678" s="27"/>
    </row>
    <row r="679">
      <c r="A679" s="27"/>
      <c r="B679" s="52"/>
      <c r="C679" s="27"/>
      <c r="D679" s="27"/>
      <c r="E679" s="27"/>
    </row>
    <row r="680">
      <c r="A680" s="27"/>
      <c r="B680" s="52"/>
      <c r="C680" s="27"/>
      <c r="D680" s="27"/>
      <c r="E680" s="27"/>
    </row>
    <row r="681">
      <c r="A681" s="27"/>
      <c r="B681" s="52"/>
      <c r="C681" s="27"/>
      <c r="D681" s="27"/>
      <c r="E681" s="27"/>
    </row>
    <row r="682">
      <c r="A682" s="27"/>
      <c r="B682" s="52"/>
      <c r="C682" s="27"/>
      <c r="D682" s="27"/>
      <c r="E682" s="27"/>
    </row>
    <row r="683">
      <c r="A683" s="27"/>
      <c r="B683" s="52"/>
      <c r="C683" s="27"/>
      <c r="D683" s="27"/>
      <c r="E683" s="27"/>
    </row>
    <row r="684">
      <c r="A684" s="27"/>
      <c r="B684" s="52"/>
      <c r="C684" s="27"/>
      <c r="D684" s="27"/>
      <c r="E684" s="27"/>
    </row>
    <row r="685">
      <c r="A685" s="27"/>
      <c r="B685" s="52"/>
      <c r="C685" s="27"/>
      <c r="D685" s="27"/>
      <c r="E685" s="27"/>
    </row>
    <row r="686">
      <c r="A686" s="27"/>
      <c r="B686" s="52"/>
      <c r="C686" s="27"/>
      <c r="D686" s="27"/>
      <c r="E686" s="27"/>
    </row>
    <row r="687">
      <c r="A687" s="27"/>
      <c r="B687" s="52"/>
      <c r="C687" s="27"/>
      <c r="D687" s="27"/>
      <c r="E687" s="27"/>
    </row>
    <row r="688">
      <c r="A688" s="27"/>
      <c r="B688" s="52"/>
      <c r="C688" s="27"/>
      <c r="D688" s="27"/>
      <c r="E688" s="27"/>
    </row>
    <row r="689">
      <c r="A689" s="27"/>
      <c r="B689" s="52"/>
      <c r="C689" s="27"/>
      <c r="D689" s="27"/>
      <c r="E689" s="27"/>
    </row>
    <row r="690">
      <c r="A690" s="27"/>
      <c r="B690" s="52"/>
      <c r="C690" s="27"/>
      <c r="D690" s="27"/>
      <c r="E690" s="27"/>
    </row>
    <row r="691">
      <c r="A691" s="27"/>
      <c r="B691" s="52"/>
      <c r="C691" s="27"/>
      <c r="D691" s="27"/>
      <c r="E691" s="27"/>
    </row>
    <row r="692">
      <c r="A692" s="27"/>
      <c r="B692" s="52"/>
      <c r="C692" s="27"/>
      <c r="D692" s="27"/>
      <c r="E692" s="27"/>
    </row>
    <row r="693">
      <c r="A693" s="27"/>
      <c r="B693" s="52"/>
      <c r="C693" s="27"/>
      <c r="D693" s="27"/>
      <c r="E693" s="27"/>
    </row>
    <row r="694">
      <c r="A694" s="27"/>
      <c r="B694" s="52"/>
      <c r="C694" s="27"/>
      <c r="D694" s="27"/>
      <c r="E694" s="27"/>
    </row>
    <row r="695">
      <c r="A695" s="27"/>
      <c r="B695" s="52"/>
      <c r="C695" s="27"/>
      <c r="D695" s="27"/>
      <c r="E695" s="27"/>
    </row>
    <row r="696">
      <c r="A696" s="27"/>
      <c r="B696" s="52"/>
      <c r="C696" s="27"/>
      <c r="D696" s="27"/>
      <c r="E696" s="27"/>
    </row>
    <row r="697">
      <c r="A697" s="27"/>
      <c r="B697" s="52"/>
      <c r="C697" s="27"/>
      <c r="D697" s="27"/>
      <c r="E697" s="27"/>
    </row>
    <row r="698">
      <c r="A698" s="27"/>
      <c r="B698" s="52"/>
      <c r="C698" s="27"/>
      <c r="D698" s="27"/>
      <c r="E698" s="27"/>
    </row>
    <row r="699">
      <c r="A699" s="27"/>
      <c r="B699" s="52"/>
      <c r="C699" s="27"/>
      <c r="D699" s="27"/>
      <c r="E699" s="27"/>
    </row>
    <row r="700">
      <c r="A700" s="27"/>
      <c r="B700" s="52"/>
      <c r="C700" s="27"/>
      <c r="D700" s="27"/>
      <c r="E700" s="27"/>
    </row>
    <row r="701">
      <c r="A701" s="27"/>
      <c r="B701" s="52"/>
      <c r="C701" s="27"/>
      <c r="D701" s="27"/>
      <c r="E701" s="27"/>
    </row>
    <row r="702">
      <c r="A702" s="27"/>
      <c r="B702" s="52"/>
      <c r="C702" s="27"/>
      <c r="D702" s="27"/>
      <c r="E702" s="27"/>
    </row>
    <row r="703">
      <c r="A703" s="27"/>
      <c r="B703" s="52"/>
      <c r="C703" s="27"/>
      <c r="D703" s="27"/>
      <c r="E703" s="27"/>
    </row>
    <row r="704">
      <c r="A704" s="27"/>
      <c r="B704" s="52"/>
      <c r="C704" s="27"/>
      <c r="D704" s="27"/>
      <c r="E704" s="27"/>
    </row>
    <row r="705">
      <c r="A705" s="27"/>
      <c r="B705" s="52"/>
      <c r="C705" s="27"/>
      <c r="D705" s="27"/>
      <c r="E705" s="27"/>
    </row>
    <row r="706">
      <c r="A706" s="27"/>
      <c r="B706" s="52"/>
      <c r="C706" s="27"/>
      <c r="D706" s="27"/>
      <c r="E706" s="27"/>
    </row>
    <row r="707">
      <c r="A707" s="27"/>
      <c r="B707" s="52"/>
      <c r="C707" s="27"/>
      <c r="D707" s="27"/>
      <c r="E707" s="27"/>
    </row>
    <row r="708">
      <c r="A708" s="27"/>
      <c r="B708" s="52"/>
      <c r="C708" s="27"/>
      <c r="D708" s="27"/>
      <c r="E708" s="27"/>
    </row>
    <row r="709">
      <c r="A709" s="27"/>
      <c r="B709" s="52"/>
      <c r="C709" s="27"/>
      <c r="D709" s="27"/>
      <c r="E709" s="27"/>
    </row>
    <row r="710">
      <c r="A710" s="27"/>
      <c r="B710" s="52"/>
      <c r="C710" s="27"/>
      <c r="D710" s="27"/>
      <c r="E710" s="27"/>
    </row>
    <row r="711">
      <c r="A711" s="27"/>
      <c r="B711" s="52"/>
      <c r="C711" s="27"/>
      <c r="D711" s="27"/>
      <c r="E711" s="27"/>
    </row>
    <row r="712">
      <c r="A712" s="27"/>
      <c r="B712" s="52"/>
      <c r="C712" s="27"/>
      <c r="D712" s="27"/>
      <c r="E712" s="27"/>
    </row>
    <row r="713">
      <c r="A713" s="27"/>
      <c r="B713" s="52"/>
      <c r="C713" s="27"/>
      <c r="D713" s="27"/>
      <c r="E713" s="27"/>
    </row>
    <row r="714">
      <c r="A714" s="27"/>
      <c r="B714" s="52"/>
      <c r="C714" s="27"/>
      <c r="D714" s="27"/>
      <c r="E714" s="27"/>
    </row>
    <row r="715">
      <c r="A715" s="27"/>
      <c r="B715" s="52"/>
      <c r="C715" s="27"/>
      <c r="D715" s="27"/>
      <c r="E715" s="27"/>
    </row>
    <row r="716">
      <c r="A716" s="27"/>
      <c r="B716" s="52"/>
      <c r="C716" s="27"/>
      <c r="D716" s="27"/>
      <c r="E716" s="27"/>
    </row>
    <row r="717">
      <c r="A717" s="27"/>
      <c r="B717" s="52"/>
      <c r="C717" s="27"/>
      <c r="D717" s="27"/>
      <c r="E717" s="27"/>
    </row>
    <row r="718">
      <c r="A718" s="27"/>
      <c r="B718" s="52"/>
      <c r="C718" s="27"/>
      <c r="D718" s="27"/>
      <c r="E718" s="27"/>
    </row>
    <row r="719">
      <c r="A719" s="27"/>
      <c r="B719" s="52"/>
      <c r="C719" s="27"/>
      <c r="D719" s="27"/>
      <c r="E719" s="27"/>
    </row>
    <row r="720">
      <c r="A720" s="27"/>
      <c r="B720" s="52"/>
      <c r="C720" s="27"/>
      <c r="D720" s="27"/>
      <c r="E720" s="27"/>
    </row>
    <row r="721">
      <c r="A721" s="27"/>
      <c r="B721" s="52"/>
      <c r="C721" s="27"/>
      <c r="D721" s="27"/>
      <c r="E721" s="27"/>
    </row>
    <row r="722">
      <c r="A722" s="27"/>
      <c r="B722" s="52"/>
      <c r="C722" s="27"/>
      <c r="D722" s="27"/>
      <c r="E722" s="27"/>
    </row>
    <row r="723">
      <c r="A723" s="27"/>
      <c r="B723" s="52"/>
      <c r="C723" s="27"/>
      <c r="D723" s="27"/>
      <c r="E723" s="27"/>
    </row>
    <row r="724">
      <c r="A724" s="27"/>
      <c r="B724" s="52"/>
      <c r="C724" s="27"/>
      <c r="D724" s="27"/>
      <c r="E724" s="27"/>
    </row>
    <row r="725">
      <c r="A725" s="27"/>
      <c r="B725" s="52"/>
      <c r="C725" s="27"/>
      <c r="D725" s="27"/>
      <c r="E725" s="27"/>
    </row>
    <row r="726">
      <c r="A726" s="27"/>
      <c r="B726" s="52"/>
      <c r="C726" s="27"/>
      <c r="D726" s="27"/>
      <c r="E726" s="27"/>
    </row>
    <row r="727">
      <c r="A727" s="27"/>
      <c r="B727" s="52"/>
      <c r="C727" s="27"/>
      <c r="D727" s="27"/>
      <c r="E727" s="27"/>
    </row>
    <row r="728">
      <c r="A728" s="27"/>
      <c r="B728" s="52"/>
      <c r="C728" s="27"/>
      <c r="D728" s="27"/>
      <c r="E728" s="27"/>
    </row>
    <row r="729">
      <c r="A729" s="27"/>
      <c r="B729" s="52"/>
      <c r="C729" s="27"/>
      <c r="D729" s="27"/>
      <c r="E729" s="27"/>
    </row>
    <row r="730">
      <c r="A730" s="27"/>
      <c r="B730" s="52"/>
      <c r="C730" s="27"/>
      <c r="D730" s="27"/>
      <c r="E730" s="27"/>
    </row>
    <row r="731">
      <c r="A731" s="27"/>
      <c r="B731" s="52"/>
      <c r="C731" s="27"/>
      <c r="D731" s="27"/>
      <c r="E731" s="27"/>
    </row>
    <row r="732">
      <c r="A732" s="27"/>
      <c r="B732" s="52"/>
      <c r="C732" s="27"/>
      <c r="D732" s="27"/>
      <c r="E732" s="27"/>
    </row>
    <row r="733">
      <c r="A733" s="27"/>
      <c r="B733" s="52"/>
      <c r="C733" s="27"/>
      <c r="D733" s="27"/>
      <c r="E733" s="27"/>
    </row>
    <row r="734">
      <c r="A734" s="27"/>
      <c r="B734" s="52"/>
      <c r="C734" s="27"/>
      <c r="D734" s="27"/>
      <c r="E734" s="27"/>
    </row>
    <row r="735">
      <c r="A735" s="27"/>
      <c r="B735" s="52"/>
      <c r="C735" s="27"/>
      <c r="D735" s="27"/>
      <c r="E735" s="27"/>
    </row>
    <row r="736">
      <c r="A736" s="27"/>
      <c r="B736" s="52"/>
      <c r="C736" s="27"/>
      <c r="D736" s="27"/>
      <c r="E736" s="27"/>
    </row>
    <row r="737">
      <c r="A737" s="27"/>
      <c r="B737" s="52"/>
      <c r="C737" s="27"/>
      <c r="D737" s="27"/>
      <c r="E737" s="27"/>
    </row>
    <row r="738">
      <c r="A738" s="27"/>
      <c r="B738" s="52"/>
      <c r="C738" s="27"/>
      <c r="D738" s="27"/>
      <c r="E738" s="27"/>
    </row>
    <row r="739">
      <c r="A739" s="27"/>
      <c r="B739" s="52"/>
      <c r="C739" s="27"/>
      <c r="D739" s="27"/>
      <c r="E739" s="27"/>
    </row>
    <row r="740">
      <c r="A740" s="27"/>
      <c r="B740" s="52"/>
      <c r="C740" s="27"/>
      <c r="D740" s="27"/>
      <c r="E740" s="27"/>
    </row>
    <row r="741">
      <c r="A741" s="27"/>
      <c r="B741" s="52"/>
      <c r="C741" s="27"/>
      <c r="D741" s="27"/>
      <c r="E741" s="27"/>
    </row>
    <row r="742">
      <c r="A742" s="27"/>
      <c r="B742" s="52"/>
      <c r="C742" s="27"/>
      <c r="D742" s="27"/>
      <c r="E742" s="27"/>
    </row>
    <row r="743">
      <c r="A743" s="27"/>
      <c r="B743" s="52"/>
      <c r="C743" s="27"/>
      <c r="D743" s="27"/>
      <c r="E743" s="27"/>
    </row>
    <row r="744">
      <c r="A744" s="27"/>
      <c r="B744" s="52"/>
      <c r="C744" s="27"/>
      <c r="D744" s="27"/>
      <c r="E744" s="27"/>
    </row>
    <row r="745">
      <c r="A745" s="27"/>
      <c r="B745" s="52"/>
      <c r="C745" s="27"/>
      <c r="D745" s="27"/>
      <c r="E745" s="27"/>
    </row>
    <row r="746">
      <c r="A746" s="27"/>
      <c r="B746" s="52"/>
      <c r="C746" s="27"/>
      <c r="D746" s="27"/>
      <c r="E746" s="27"/>
    </row>
    <row r="747">
      <c r="A747" s="27"/>
      <c r="B747" s="52"/>
      <c r="C747" s="27"/>
      <c r="D747" s="27"/>
      <c r="E747" s="27"/>
    </row>
    <row r="748">
      <c r="A748" s="27"/>
      <c r="B748" s="52"/>
      <c r="C748" s="27"/>
      <c r="D748" s="27"/>
      <c r="E748" s="27"/>
    </row>
    <row r="749">
      <c r="A749" s="27"/>
      <c r="B749" s="52"/>
      <c r="C749" s="27"/>
      <c r="D749" s="27"/>
      <c r="E749" s="27"/>
    </row>
    <row r="750">
      <c r="A750" s="27"/>
      <c r="B750" s="52"/>
      <c r="C750" s="27"/>
      <c r="D750" s="27"/>
      <c r="E750" s="27"/>
    </row>
    <row r="751">
      <c r="A751" s="27"/>
      <c r="B751" s="52"/>
      <c r="C751" s="27"/>
      <c r="D751" s="27"/>
      <c r="E751" s="27"/>
    </row>
    <row r="752">
      <c r="A752" s="27"/>
      <c r="B752" s="52"/>
      <c r="C752" s="27"/>
      <c r="D752" s="27"/>
      <c r="E752" s="27"/>
    </row>
    <row r="753">
      <c r="A753" s="27"/>
      <c r="B753" s="52"/>
      <c r="C753" s="27"/>
      <c r="D753" s="27"/>
      <c r="E753" s="27"/>
    </row>
    <row r="754">
      <c r="A754" s="27"/>
      <c r="B754" s="52"/>
      <c r="C754" s="27"/>
      <c r="D754" s="27"/>
      <c r="E754" s="27"/>
    </row>
    <row r="755">
      <c r="A755" s="27"/>
      <c r="B755" s="52"/>
      <c r="C755" s="27"/>
      <c r="D755" s="27"/>
      <c r="E755" s="27"/>
    </row>
    <row r="756">
      <c r="A756" s="27"/>
      <c r="B756" s="52"/>
      <c r="C756" s="27"/>
      <c r="D756" s="27"/>
      <c r="E756" s="27"/>
    </row>
    <row r="757">
      <c r="A757" s="27"/>
      <c r="B757" s="52"/>
      <c r="C757" s="27"/>
      <c r="D757" s="27"/>
      <c r="E757" s="27"/>
    </row>
    <row r="758">
      <c r="A758" s="27"/>
      <c r="B758" s="52"/>
      <c r="C758" s="27"/>
      <c r="D758" s="27"/>
      <c r="E758" s="27"/>
    </row>
    <row r="759">
      <c r="A759" s="27"/>
      <c r="B759" s="52"/>
      <c r="C759" s="27"/>
      <c r="D759" s="27"/>
      <c r="E759" s="27"/>
    </row>
    <row r="760">
      <c r="A760" s="27"/>
      <c r="B760" s="52"/>
      <c r="C760" s="27"/>
      <c r="D760" s="27"/>
      <c r="E760" s="27"/>
    </row>
    <row r="761">
      <c r="A761" s="27"/>
      <c r="B761" s="52"/>
      <c r="C761" s="27"/>
      <c r="D761" s="27"/>
      <c r="E761" s="27"/>
    </row>
    <row r="762">
      <c r="A762" s="27"/>
      <c r="B762" s="52"/>
      <c r="C762" s="27"/>
      <c r="D762" s="27"/>
      <c r="E762" s="27"/>
    </row>
    <row r="763">
      <c r="A763" s="27"/>
      <c r="B763" s="52"/>
      <c r="C763" s="27"/>
      <c r="D763" s="27"/>
      <c r="E763" s="27"/>
    </row>
    <row r="764">
      <c r="A764" s="27"/>
      <c r="B764" s="52"/>
      <c r="C764" s="27"/>
      <c r="D764" s="27"/>
      <c r="E764" s="27"/>
    </row>
    <row r="765">
      <c r="A765" s="27"/>
      <c r="B765" s="52"/>
      <c r="C765" s="27"/>
      <c r="D765" s="27"/>
      <c r="E765" s="27"/>
    </row>
    <row r="766">
      <c r="A766" s="27"/>
      <c r="B766" s="52"/>
      <c r="C766" s="27"/>
      <c r="D766" s="27"/>
      <c r="E766" s="27"/>
    </row>
    <row r="767">
      <c r="A767" s="27"/>
      <c r="B767" s="52"/>
      <c r="C767" s="27"/>
      <c r="D767" s="27"/>
      <c r="E767" s="27"/>
    </row>
    <row r="768">
      <c r="A768" s="27"/>
      <c r="B768" s="52"/>
      <c r="C768" s="27"/>
      <c r="D768" s="27"/>
      <c r="E768" s="27"/>
    </row>
    <row r="769">
      <c r="A769" s="27"/>
      <c r="B769" s="52"/>
      <c r="C769" s="27"/>
      <c r="D769" s="27"/>
      <c r="E769" s="27"/>
    </row>
    <row r="770">
      <c r="A770" s="27"/>
      <c r="B770" s="52"/>
      <c r="C770" s="27"/>
      <c r="D770" s="27"/>
      <c r="E770" s="27"/>
    </row>
    <row r="771">
      <c r="A771" s="27"/>
      <c r="B771" s="52"/>
      <c r="C771" s="27"/>
      <c r="D771" s="27"/>
      <c r="E771" s="27"/>
    </row>
    <row r="772">
      <c r="A772" s="27"/>
      <c r="B772" s="52"/>
      <c r="C772" s="27"/>
      <c r="D772" s="27"/>
      <c r="E772" s="27"/>
    </row>
    <row r="773">
      <c r="A773" s="27"/>
      <c r="B773" s="52"/>
      <c r="C773" s="27"/>
      <c r="D773" s="27"/>
      <c r="E773" s="27"/>
    </row>
    <row r="774">
      <c r="A774" s="27"/>
      <c r="B774" s="52"/>
      <c r="C774" s="27"/>
      <c r="D774" s="27"/>
      <c r="E774" s="27"/>
    </row>
    <row r="775">
      <c r="A775" s="27"/>
      <c r="B775" s="52"/>
      <c r="C775" s="27"/>
      <c r="D775" s="27"/>
      <c r="E775" s="27"/>
    </row>
    <row r="776">
      <c r="A776" s="27"/>
      <c r="B776" s="52"/>
      <c r="C776" s="27"/>
      <c r="D776" s="27"/>
      <c r="E776" s="27"/>
    </row>
    <row r="777">
      <c r="A777" s="27"/>
      <c r="B777" s="52"/>
      <c r="C777" s="27"/>
      <c r="D777" s="27"/>
      <c r="E777" s="27"/>
    </row>
    <row r="778">
      <c r="A778" s="27"/>
      <c r="B778" s="52"/>
      <c r="C778" s="27"/>
      <c r="D778" s="27"/>
      <c r="E778" s="27"/>
    </row>
    <row r="779">
      <c r="A779" s="27"/>
      <c r="B779" s="52"/>
      <c r="C779" s="27"/>
      <c r="D779" s="27"/>
      <c r="E779" s="27"/>
    </row>
    <row r="780">
      <c r="A780" s="27"/>
      <c r="B780" s="52"/>
      <c r="C780" s="27"/>
      <c r="D780" s="27"/>
      <c r="E780" s="27"/>
    </row>
    <row r="781">
      <c r="A781" s="27"/>
      <c r="B781" s="52"/>
      <c r="C781" s="27"/>
      <c r="D781" s="27"/>
      <c r="E781" s="27"/>
    </row>
    <row r="782">
      <c r="A782" s="27"/>
      <c r="B782" s="52"/>
      <c r="C782" s="27"/>
      <c r="D782" s="27"/>
      <c r="E782" s="27"/>
    </row>
    <row r="783">
      <c r="A783" s="27"/>
      <c r="B783" s="52"/>
      <c r="C783" s="27"/>
      <c r="D783" s="27"/>
      <c r="E783" s="27"/>
    </row>
    <row r="784">
      <c r="A784" s="27"/>
      <c r="B784" s="52"/>
      <c r="C784" s="27"/>
      <c r="D784" s="27"/>
      <c r="E784" s="27"/>
    </row>
    <row r="785">
      <c r="A785" s="27"/>
      <c r="B785" s="52"/>
      <c r="C785" s="27"/>
      <c r="D785" s="27"/>
      <c r="E785" s="27"/>
    </row>
    <row r="786">
      <c r="A786" s="27"/>
      <c r="B786" s="52"/>
      <c r="C786" s="27"/>
      <c r="D786" s="27"/>
      <c r="E786" s="27"/>
    </row>
    <row r="787">
      <c r="A787" s="27"/>
      <c r="B787" s="52"/>
      <c r="C787" s="27"/>
      <c r="D787" s="27"/>
      <c r="E787" s="27"/>
    </row>
    <row r="788">
      <c r="A788" s="27"/>
      <c r="B788" s="52"/>
      <c r="C788" s="27"/>
      <c r="D788" s="27"/>
      <c r="E788" s="27"/>
    </row>
    <row r="789">
      <c r="A789" s="27"/>
      <c r="B789" s="52"/>
      <c r="C789" s="27"/>
      <c r="D789" s="27"/>
      <c r="E789" s="27"/>
    </row>
    <row r="790">
      <c r="A790" s="27"/>
      <c r="B790" s="52"/>
      <c r="C790" s="27"/>
      <c r="D790" s="27"/>
      <c r="E790" s="27"/>
    </row>
    <row r="791">
      <c r="A791" s="27"/>
      <c r="B791" s="52"/>
      <c r="C791" s="27"/>
      <c r="D791" s="27"/>
      <c r="E791" s="27"/>
    </row>
    <row r="792">
      <c r="A792" s="27"/>
      <c r="B792" s="52"/>
      <c r="C792" s="27"/>
      <c r="D792" s="27"/>
      <c r="E792" s="27"/>
    </row>
    <row r="793">
      <c r="A793" s="27"/>
      <c r="B793" s="52"/>
      <c r="C793" s="27"/>
      <c r="D793" s="27"/>
      <c r="E793" s="27"/>
    </row>
    <row r="794">
      <c r="A794" s="27"/>
      <c r="B794" s="52"/>
      <c r="C794" s="27"/>
      <c r="D794" s="27"/>
      <c r="E794" s="27"/>
    </row>
    <row r="795">
      <c r="A795" s="27"/>
      <c r="B795" s="52"/>
      <c r="C795" s="27"/>
      <c r="D795" s="27"/>
      <c r="E795" s="27"/>
    </row>
    <row r="796">
      <c r="A796" s="27"/>
      <c r="B796" s="52"/>
      <c r="C796" s="27"/>
      <c r="D796" s="27"/>
      <c r="E796" s="27"/>
    </row>
    <row r="797">
      <c r="A797" s="27"/>
      <c r="B797" s="52"/>
      <c r="C797" s="27"/>
      <c r="D797" s="27"/>
      <c r="E797" s="27"/>
    </row>
    <row r="798">
      <c r="A798" s="27"/>
      <c r="B798" s="52"/>
      <c r="C798" s="27"/>
      <c r="D798" s="27"/>
      <c r="E798" s="27"/>
    </row>
    <row r="799">
      <c r="A799" s="27"/>
      <c r="B799" s="52"/>
      <c r="C799" s="27"/>
      <c r="D799" s="27"/>
      <c r="E799" s="27"/>
    </row>
    <row r="800">
      <c r="A800" s="27"/>
      <c r="B800" s="52"/>
      <c r="C800" s="27"/>
      <c r="D800" s="27"/>
      <c r="E800" s="27"/>
    </row>
    <row r="801">
      <c r="A801" s="27"/>
      <c r="B801" s="52"/>
      <c r="C801" s="27"/>
      <c r="D801" s="27"/>
      <c r="E801" s="27"/>
    </row>
    <row r="802">
      <c r="A802" s="27"/>
      <c r="B802" s="52"/>
      <c r="C802" s="27"/>
      <c r="D802" s="27"/>
      <c r="E802" s="27"/>
    </row>
    <row r="803">
      <c r="A803" s="27"/>
      <c r="B803" s="52"/>
      <c r="C803" s="27"/>
      <c r="D803" s="27"/>
      <c r="E803" s="27"/>
    </row>
    <row r="804">
      <c r="A804" s="27"/>
      <c r="B804" s="52"/>
      <c r="C804" s="27"/>
      <c r="D804" s="27"/>
      <c r="E804" s="27"/>
    </row>
    <row r="805">
      <c r="A805" s="27"/>
      <c r="B805" s="52"/>
      <c r="C805" s="27"/>
      <c r="D805" s="27"/>
      <c r="E805" s="27"/>
    </row>
    <row r="806">
      <c r="A806" s="27"/>
      <c r="B806" s="52"/>
      <c r="C806" s="27"/>
      <c r="D806" s="27"/>
      <c r="E806" s="27"/>
    </row>
    <row r="807">
      <c r="A807" s="27"/>
      <c r="B807" s="52"/>
      <c r="C807" s="27"/>
      <c r="D807" s="27"/>
      <c r="E807" s="27"/>
    </row>
    <row r="808">
      <c r="A808" s="27"/>
      <c r="B808" s="52"/>
      <c r="C808" s="27"/>
      <c r="D808" s="27"/>
      <c r="E808" s="27"/>
    </row>
    <row r="809">
      <c r="A809" s="27"/>
      <c r="B809" s="52"/>
      <c r="C809" s="27"/>
      <c r="D809" s="27"/>
      <c r="E809" s="27"/>
    </row>
    <row r="810">
      <c r="A810" s="27"/>
      <c r="B810" s="52"/>
      <c r="C810" s="27"/>
      <c r="D810" s="27"/>
      <c r="E810" s="27"/>
    </row>
    <row r="811">
      <c r="A811" s="27"/>
      <c r="B811" s="52"/>
      <c r="C811" s="27"/>
      <c r="D811" s="27"/>
      <c r="E811" s="27"/>
    </row>
    <row r="812">
      <c r="A812" s="27"/>
      <c r="B812" s="52"/>
      <c r="C812" s="27"/>
      <c r="D812" s="27"/>
      <c r="E812" s="27"/>
    </row>
    <row r="813">
      <c r="A813" s="27"/>
      <c r="B813" s="52"/>
      <c r="C813" s="27"/>
      <c r="D813" s="27"/>
      <c r="E813" s="27"/>
    </row>
    <row r="814">
      <c r="A814" s="27"/>
      <c r="B814" s="52"/>
      <c r="C814" s="27"/>
      <c r="D814" s="27"/>
      <c r="E814" s="27"/>
    </row>
    <row r="815">
      <c r="A815" s="27"/>
      <c r="B815" s="52"/>
      <c r="C815" s="27"/>
      <c r="D815" s="27"/>
      <c r="E815" s="27"/>
    </row>
    <row r="816">
      <c r="A816" s="27"/>
      <c r="B816" s="52"/>
      <c r="C816" s="27"/>
      <c r="D816" s="27"/>
      <c r="E816" s="27"/>
    </row>
    <row r="817">
      <c r="A817" s="27"/>
      <c r="B817" s="52"/>
      <c r="C817" s="27"/>
      <c r="D817" s="27"/>
      <c r="E817" s="27"/>
    </row>
    <row r="818">
      <c r="A818" s="27"/>
      <c r="B818" s="52"/>
      <c r="C818" s="27"/>
      <c r="D818" s="27"/>
      <c r="E818" s="27"/>
    </row>
    <row r="819">
      <c r="A819" s="27"/>
      <c r="B819" s="52"/>
      <c r="C819" s="27"/>
      <c r="D819" s="27"/>
      <c r="E819" s="27"/>
    </row>
    <row r="820">
      <c r="A820" s="27"/>
      <c r="B820" s="52"/>
      <c r="C820" s="27"/>
      <c r="D820" s="27"/>
      <c r="E820" s="27"/>
    </row>
    <row r="821">
      <c r="A821" s="27"/>
      <c r="B821" s="52"/>
      <c r="C821" s="27"/>
      <c r="D821" s="27"/>
      <c r="E821" s="27"/>
    </row>
    <row r="822">
      <c r="A822" s="27"/>
      <c r="B822" s="52"/>
      <c r="C822" s="27"/>
      <c r="D822" s="27"/>
      <c r="E822" s="27"/>
    </row>
    <row r="823">
      <c r="A823" s="27"/>
      <c r="B823" s="52"/>
      <c r="C823" s="27"/>
      <c r="D823" s="27"/>
      <c r="E823" s="27"/>
    </row>
    <row r="824">
      <c r="A824" s="27"/>
      <c r="B824" s="52"/>
      <c r="C824" s="27"/>
      <c r="D824" s="27"/>
      <c r="E824" s="27"/>
    </row>
    <row r="825">
      <c r="A825" s="27"/>
      <c r="B825" s="52"/>
      <c r="C825" s="27"/>
      <c r="D825" s="27"/>
      <c r="E825" s="27"/>
    </row>
    <row r="826">
      <c r="A826" s="27"/>
      <c r="B826" s="52"/>
      <c r="C826" s="27"/>
      <c r="D826" s="27"/>
      <c r="E826" s="27"/>
    </row>
    <row r="827">
      <c r="A827" s="27"/>
      <c r="B827" s="52"/>
      <c r="C827" s="27"/>
      <c r="D827" s="27"/>
      <c r="E827" s="27"/>
    </row>
    <row r="828">
      <c r="A828" s="27"/>
      <c r="B828" s="52"/>
      <c r="C828" s="27"/>
      <c r="D828" s="27"/>
      <c r="E828" s="27"/>
    </row>
    <row r="829">
      <c r="A829" s="27"/>
      <c r="B829" s="52"/>
      <c r="C829" s="27"/>
      <c r="D829" s="27"/>
      <c r="E829" s="27"/>
    </row>
    <row r="830">
      <c r="A830" s="27"/>
      <c r="B830" s="52"/>
      <c r="C830" s="27"/>
      <c r="D830" s="27"/>
      <c r="E830" s="27"/>
    </row>
    <row r="831">
      <c r="A831" s="27"/>
      <c r="B831" s="52"/>
      <c r="C831" s="27"/>
      <c r="D831" s="27"/>
      <c r="E831" s="27"/>
    </row>
    <row r="832">
      <c r="A832" s="27"/>
      <c r="B832" s="52"/>
      <c r="C832" s="27"/>
      <c r="D832" s="27"/>
      <c r="E832" s="27"/>
    </row>
    <row r="833">
      <c r="A833" s="27"/>
      <c r="B833" s="52"/>
      <c r="C833" s="27"/>
      <c r="D833" s="27"/>
      <c r="E833" s="27"/>
    </row>
    <row r="834">
      <c r="A834" s="27"/>
      <c r="B834" s="52"/>
      <c r="C834" s="27"/>
      <c r="D834" s="27"/>
      <c r="E834" s="27"/>
    </row>
    <row r="835">
      <c r="A835" s="27"/>
      <c r="B835" s="52"/>
      <c r="C835" s="27"/>
      <c r="D835" s="27"/>
      <c r="E835" s="27"/>
    </row>
    <row r="836">
      <c r="A836" s="27"/>
      <c r="B836" s="52"/>
      <c r="C836" s="27"/>
      <c r="D836" s="27"/>
      <c r="E836" s="27"/>
    </row>
    <row r="837">
      <c r="A837" s="27"/>
      <c r="B837" s="52"/>
      <c r="C837" s="27"/>
      <c r="D837" s="27"/>
      <c r="E837" s="27"/>
    </row>
    <row r="838">
      <c r="A838" s="27"/>
      <c r="B838" s="52"/>
      <c r="C838" s="27"/>
      <c r="D838" s="27"/>
      <c r="E838" s="27"/>
    </row>
    <row r="839">
      <c r="A839" s="27"/>
      <c r="B839" s="52"/>
      <c r="C839" s="27"/>
      <c r="D839" s="27"/>
      <c r="E839" s="27"/>
    </row>
    <row r="840">
      <c r="A840" s="27"/>
      <c r="B840" s="52"/>
      <c r="C840" s="27"/>
      <c r="D840" s="27"/>
      <c r="E840" s="27"/>
    </row>
    <row r="841">
      <c r="A841" s="27"/>
      <c r="B841" s="52"/>
      <c r="C841" s="27"/>
      <c r="D841" s="27"/>
      <c r="E841" s="27"/>
    </row>
    <row r="842">
      <c r="A842" s="27"/>
      <c r="B842" s="52"/>
      <c r="C842" s="27"/>
      <c r="D842" s="27"/>
      <c r="E842" s="27"/>
    </row>
    <row r="843">
      <c r="A843" s="27"/>
      <c r="B843" s="52"/>
      <c r="C843" s="27"/>
      <c r="D843" s="27"/>
      <c r="E843" s="27"/>
    </row>
    <row r="844">
      <c r="A844" s="27"/>
      <c r="B844" s="52"/>
      <c r="C844" s="27"/>
      <c r="D844" s="27"/>
      <c r="E844" s="27"/>
    </row>
    <row r="845">
      <c r="A845" s="27"/>
      <c r="B845" s="52"/>
      <c r="C845" s="27"/>
      <c r="D845" s="27"/>
      <c r="E845" s="27"/>
    </row>
    <row r="846">
      <c r="A846" s="27"/>
      <c r="B846" s="52"/>
      <c r="C846" s="27"/>
      <c r="D846" s="27"/>
      <c r="E846" s="27"/>
    </row>
    <row r="847">
      <c r="A847" s="27"/>
      <c r="B847" s="52"/>
      <c r="C847" s="27"/>
      <c r="D847" s="27"/>
      <c r="E847" s="27"/>
    </row>
    <row r="848">
      <c r="A848" s="27"/>
      <c r="B848" s="52"/>
      <c r="C848" s="27"/>
      <c r="D848" s="27"/>
      <c r="E848" s="27"/>
    </row>
    <row r="849">
      <c r="A849" s="27"/>
      <c r="B849" s="52"/>
      <c r="C849" s="27"/>
      <c r="D849" s="27"/>
      <c r="E849" s="27"/>
    </row>
    <row r="850">
      <c r="A850" s="27"/>
      <c r="B850" s="52"/>
      <c r="C850" s="27"/>
      <c r="D850" s="27"/>
      <c r="E850" s="27"/>
    </row>
    <row r="851">
      <c r="A851" s="27"/>
      <c r="B851" s="52"/>
      <c r="C851" s="27"/>
      <c r="D851" s="27"/>
      <c r="E851" s="27"/>
    </row>
    <row r="852">
      <c r="A852" s="27"/>
      <c r="B852" s="52"/>
      <c r="C852" s="27"/>
      <c r="D852" s="27"/>
      <c r="E852" s="27"/>
    </row>
    <row r="853">
      <c r="A853" s="27"/>
      <c r="B853" s="52"/>
      <c r="C853" s="27"/>
      <c r="D853" s="27"/>
      <c r="E853" s="27"/>
    </row>
    <row r="854">
      <c r="A854" s="27"/>
      <c r="B854" s="52"/>
      <c r="C854" s="27"/>
      <c r="D854" s="27"/>
      <c r="E854" s="27"/>
    </row>
    <row r="855">
      <c r="A855" s="27"/>
      <c r="B855" s="52"/>
      <c r="C855" s="27"/>
      <c r="D855" s="27"/>
      <c r="E855" s="27"/>
    </row>
    <row r="856">
      <c r="A856" s="27"/>
      <c r="B856" s="52"/>
      <c r="C856" s="27"/>
      <c r="D856" s="27"/>
      <c r="E856" s="27"/>
    </row>
    <row r="857">
      <c r="A857" s="27"/>
      <c r="B857" s="52"/>
      <c r="C857" s="27"/>
      <c r="D857" s="27"/>
      <c r="E857" s="27"/>
    </row>
    <row r="858">
      <c r="A858" s="27"/>
      <c r="B858" s="52"/>
      <c r="C858" s="27"/>
      <c r="D858" s="27"/>
      <c r="E858" s="27"/>
    </row>
    <row r="859">
      <c r="A859" s="27"/>
      <c r="B859" s="52"/>
      <c r="C859" s="27"/>
      <c r="D859" s="27"/>
      <c r="E859" s="27"/>
    </row>
    <row r="860">
      <c r="A860" s="27"/>
      <c r="B860" s="52"/>
      <c r="C860" s="27"/>
      <c r="D860" s="27"/>
      <c r="E860" s="27"/>
    </row>
    <row r="861">
      <c r="A861" s="27"/>
      <c r="B861" s="52"/>
      <c r="C861" s="27"/>
      <c r="D861" s="27"/>
      <c r="E861" s="27"/>
    </row>
    <row r="862">
      <c r="A862" s="27"/>
      <c r="B862" s="52"/>
      <c r="C862" s="27"/>
      <c r="D862" s="27"/>
      <c r="E862" s="27"/>
    </row>
    <row r="863">
      <c r="A863" s="27"/>
      <c r="B863" s="52"/>
      <c r="C863" s="27"/>
      <c r="D863" s="27"/>
      <c r="E863" s="27"/>
    </row>
    <row r="864">
      <c r="A864" s="27"/>
      <c r="B864" s="52"/>
      <c r="C864" s="27"/>
      <c r="D864" s="27"/>
      <c r="E864" s="27"/>
    </row>
    <row r="865">
      <c r="A865" s="27"/>
      <c r="B865" s="52"/>
      <c r="C865" s="27"/>
      <c r="D865" s="27"/>
      <c r="E865" s="27"/>
    </row>
    <row r="866">
      <c r="A866" s="27"/>
      <c r="B866" s="52"/>
      <c r="C866" s="27"/>
      <c r="D866" s="27"/>
      <c r="E866" s="27"/>
    </row>
    <row r="867">
      <c r="A867" s="27"/>
      <c r="B867" s="52"/>
      <c r="C867" s="27"/>
      <c r="D867" s="27"/>
      <c r="E867" s="27"/>
    </row>
    <row r="868">
      <c r="A868" s="27"/>
      <c r="B868" s="52"/>
      <c r="C868" s="27"/>
      <c r="D868" s="27"/>
      <c r="E868" s="27"/>
    </row>
    <row r="869">
      <c r="A869" s="27"/>
      <c r="B869" s="52"/>
      <c r="C869" s="27"/>
      <c r="D869" s="27"/>
      <c r="E869" s="27"/>
    </row>
    <row r="870">
      <c r="A870" s="27"/>
      <c r="B870" s="52"/>
      <c r="C870" s="27"/>
      <c r="D870" s="27"/>
      <c r="E870" s="27"/>
    </row>
    <row r="871">
      <c r="A871" s="27"/>
      <c r="B871" s="52"/>
      <c r="C871" s="27"/>
      <c r="D871" s="27"/>
      <c r="E871" s="27"/>
    </row>
    <row r="872">
      <c r="A872" s="27"/>
      <c r="B872" s="52"/>
      <c r="C872" s="27"/>
      <c r="D872" s="27"/>
      <c r="E872" s="27"/>
    </row>
    <row r="873">
      <c r="A873" s="27"/>
      <c r="B873" s="52"/>
      <c r="C873" s="27"/>
      <c r="D873" s="27"/>
      <c r="E873" s="27"/>
    </row>
    <row r="874">
      <c r="A874" s="27"/>
      <c r="B874" s="52"/>
      <c r="C874" s="27"/>
      <c r="D874" s="27"/>
      <c r="E874" s="27"/>
    </row>
    <row r="875">
      <c r="A875" s="27"/>
      <c r="B875" s="52"/>
      <c r="C875" s="27"/>
      <c r="D875" s="27"/>
      <c r="E875" s="27"/>
    </row>
    <row r="876">
      <c r="A876" s="27"/>
      <c r="B876" s="52"/>
      <c r="C876" s="27"/>
      <c r="D876" s="27"/>
      <c r="E876" s="27"/>
    </row>
    <row r="877">
      <c r="A877" s="27"/>
      <c r="B877" s="52"/>
      <c r="C877" s="27"/>
      <c r="D877" s="27"/>
      <c r="E877" s="27"/>
    </row>
    <row r="878">
      <c r="A878" s="27"/>
      <c r="B878" s="52"/>
      <c r="C878" s="27"/>
      <c r="D878" s="27"/>
      <c r="E878" s="27"/>
    </row>
    <row r="879">
      <c r="A879" s="27"/>
      <c r="B879" s="52"/>
      <c r="C879" s="27"/>
      <c r="D879" s="27"/>
      <c r="E879" s="27"/>
    </row>
    <row r="880">
      <c r="A880" s="27"/>
      <c r="B880" s="52"/>
      <c r="C880" s="27"/>
      <c r="D880" s="27"/>
      <c r="E880" s="27"/>
    </row>
    <row r="881">
      <c r="A881" s="27"/>
      <c r="B881" s="52"/>
      <c r="C881" s="27"/>
      <c r="D881" s="27"/>
      <c r="E881" s="27"/>
    </row>
    <row r="882">
      <c r="A882" s="27"/>
      <c r="B882" s="52"/>
      <c r="C882" s="27"/>
      <c r="D882" s="27"/>
      <c r="E882" s="27"/>
    </row>
    <row r="883">
      <c r="A883" s="27"/>
      <c r="B883" s="52"/>
      <c r="C883" s="27"/>
      <c r="D883" s="27"/>
      <c r="E883" s="27"/>
    </row>
    <row r="884">
      <c r="A884" s="27"/>
      <c r="B884" s="52"/>
      <c r="C884" s="27"/>
      <c r="D884" s="27"/>
      <c r="E884" s="27"/>
    </row>
    <row r="885">
      <c r="A885" s="27"/>
      <c r="B885" s="52"/>
      <c r="C885" s="27"/>
      <c r="D885" s="27"/>
      <c r="E885" s="27"/>
    </row>
    <row r="886">
      <c r="A886" s="27"/>
      <c r="B886" s="52"/>
      <c r="C886" s="27"/>
      <c r="D886" s="27"/>
      <c r="E886" s="27"/>
    </row>
    <row r="887">
      <c r="A887" s="27"/>
      <c r="B887" s="52"/>
      <c r="C887" s="27"/>
      <c r="D887" s="27"/>
      <c r="E887" s="27"/>
    </row>
    <row r="888">
      <c r="A888" s="27"/>
      <c r="B888" s="52"/>
      <c r="C888" s="27"/>
      <c r="D888" s="27"/>
      <c r="E888" s="27"/>
    </row>
    <row r="889">
      <c r="A889" s="27"/>
      <c r="B889" s="52"/>
      <c r="C889" s="27"/>
      <c r="D889" s="27"/>
      <c r="E889" s="27"/>
    </row>
    <row r="890">
      <c r="A890" s="27"/>
      <c r="B890" s="52"/>
      <c r="C890" s="27"/>
      <c r="D890" s="27"/>
      <c r="E890" s="27"/>
    </row>
    <row r="891">
      <c r="A891" s="27"/>
      <c r="B891" s="52"/>
      <c r="C891" s="27"/>
      <c r="D891" s="27"/>
      <c r="E891" s="27"/>
    </row>
    <row r="892">
      <c r="A892" s="27"/>
      <c r="B892" s="52"/>
      <c r="C892" s="27"/>
      <c r="D892" s="27"/>
      <c r="E892" s="27"/>
    </row>
    <row r="893">
      <c r="A893" s="27"/>
      <c r="B893" s="52"/>
      <c r="C893" s="27"/>
      <c r="D893" s="27"/>
      <c r="E893" s="27"/>
    </row>
    <row r="894">
      <c r="A894" s="27"/>
      <c r="B894" s="52"/>
      <c r="C894" s="27"/>
      <c r="D894" s="27"/>
      <c r="E894" s="27"/>
    </row>
    <row r="895">
      <c r="A895" s="27"/>
      <c r="B895" s="52"/>
      <c r="C895" s="27"/>
      <c r="D895" s="27"/>
      <c r="E895" s="27"/>
    </row>
    <row r="896">
      <c r="A896" s="27"/>
      <c r="B896" s="52"/>
      <c r="C896" s="27"/>
      <c r="D896" s="27"/>
      <c r="E896" s="27"/>
    </row>
    <row r="897">
      <c r="A897" s="27"/>
      <c r="B897" s="52"/>
      <c r="C897" s="27"/>
      <c r="D897" s="27"/>
      <c r="E897" s="27"/>
    </row>
    <row r="898">
      <c r="A898" s="27"/>
      <c r="B898" s="52"/>
      <c r="C898" s="27"/>
      <c r="D898" s="27"/>
      <c r="E898" s="27"/>
    </row>
    <row r="899">
      <c r="A899" s="27"/>
      <c r="B899" s="52"/>
      <c r="C899" s="27"/>
      <c r="D899" s="27"/>
      <c r="E899" s="27"/>
    </row>
    <row r="900">
      <c r="A900" s="27"/>
      <c r="B900" s="52"/>
      <c r="C900" s="27"/>
      <c r="D900" s="27"/>
      <c r="E900" s="27"/>
    </row>
    <row r="901">
      <c r="A901" s="27"/>
      <c r="B901" s="52"/>
      <c r="C901" s="27"/>
      <c r="D901" s="27"/>
      <c r="E901" s="27"/>
    </row>
    <row r="902">
      <c r="A902" s="27"/>
      <c r="B902" s="52"/>
      <c r="C902" s="27"/>
      <c r="D902" s="27"/>
      <c r="E902" s="27"/>
    </row>
    <row r="903">
      <c r="A903" s="27"/>
      <c r="B903" s="52"/>
      <c r="C903" s="27"/>
      <c r="D903" s="27"/>
      <c r="E903" s="27"/>
    </row>
    <row r="904">
      <c r="A904" s="27"/>
      <c r="B904" s="52"/>
      <c r="C904" s="27"/>
      <c r="D904" s="27"/>
      <c r="E904" s="27"/>
    </row>
    <row r="905">
      <c r="A905" s="27"/>
      <c r="B905" s="52"/>
      <c r="C905" s="27"/>
      <c r="D905" s="27"/>
      <c r="E905" s="27"/>
    </row>
    <row r="906">
      <c r="A906" s="27"/>
      <c r="B906" s="52"/>
      <c r="C906" s="27"/>
      <c r="D906" s="27"/>
      <c r="E906" s="27"/>
    </row>
    <row r="907">
      <c r="A907" s="27"/>
      <c r="B907" s="52"/>
      <c r="C907" s="27"/>
      <c r="D907" s="27"/>
      <c r="E907" s="27"/>
    </row>
    <row r="908">
      <c r="A908" s="27"/>
      <c r="B908" s="52"/>
      <c r="C908" s="27"/>
      <c r="D908" s="27"/>
      <c r="E908" s="27"/>
    </row>
    <row r="909">
      <c r="A909" s="27"/>
      <c r="B909" s="52"/>
      <c r="C909" s="27"/>
      <c r="D909" s="27"/>
      <c r="E909" s="27"/>
    </row>
    <row r="910">
      <c r="A910" s="27"/>
      <c r="B910" s="52"/>
      <c r="C910" s="27"/>
      <c r="D910" s="27"/>
      <c r="E910" s="27"/>
    </row>
    <row r="911">
      <c r="A911" s="27"/>
      <c r="B911" s="52"/>
      <c r="C911" s="27"/>
      <c r="D911" s="27"/>
      <c r="E911" s="27"/>
    </row>
    <row r="912">
      <c r="A912" s="27"/>
      <c r="B912" s="52"/>
      <c r="C912" s="27"/>
      <c r="D912" s="27"/>
      <c r="E912" s="27"/>
    </row>
    <row r="913">
      <c r="A913" s="27"/>
      <c r="B913" s="52"/>
      <c r="C913" s="27"/>
      <c r="D913" s="27"/>
      <c r="E913" s="27"/>
    </row>
    <row r="914">
      <c r="A914" s="27"/>
      <c r="B914" s="52"/>
      <c r="C914" s="27"/>
      <c r="D914" s="27"/>
      <c r="E914" s="27"/>
    </row>
    <row r="915">
      <c r="A915" s="27"/>
      <c r="B915" s="52"/>
      <c r="C915" s="27"/>
      <c r="D915" s="27"/>
      <c r="E915" s="27"/>
    </row>
    <row r="916">
      <c r="A916" s="27"/>
      <c r="B916" s="52"/>
      <c r="C916" s="27"/>
      <c r="D916" s="27"/>
      <c r="E916" s="27"/>
    </row>
    <row r="917">
      <c r="A917" s="27"/>
      <c r="B917" s="52"/>
      <c r="C917" s="27"/>
      <c r="D917" s="27"/>
      <c r="E917" s="27"/>
    </row>
    <row r="918">
      <c r="A918" s="27"/>
      <c r="B918" s="52"/>
      <c r="C918" s="27"/>
      <c r="D918" s="27"/>
      <c r="E918" s="27"/>
    </row>
    <row r="919">
      <c r="A919" s="27"/>
      <c r="B919" s="52"/>
      <c r="C919" s="27"/>
      <c r="D919" s="27"/>
      <c r="E919" s="27"/>
    </row>
    <row r="920">
      <c r="A920" s="27"/>
      <c r="B920" s="52"/>
      <c r="C920" s="27"/>
      <c r="D920" s="27"/>
      <c r="E920" s="27"/>
    </row>
    <row r="921">
      <c r="A921" s="27"/>
      <c r="B921" s="52"/>
      <c r="C921" s="27"/>
      <c r="D921" s="27"/>
      <c r="E921" s="27"/>
    </row>
    <row r="922">
      <c r="A922" s="27"/>
      <c r="B922" s="52"/>
      <c r="C922" s="27"/>
      <c r="D922" s="27"/>
      <c r="E922" s="27"/>
    </row>
    <row r="923">
      <c r="A923" s="27"/>
      <c r="B923" s="52"/>
      <c r="C923" s="27"/>
      <c r="D923" s="27"/>
      <c r="E923" s="27"/>
    </row>
    <row r="924">
      <c r="A924" s="27"/>
      <c r="B924" s="52"/>
      <c r="C924" s="27"/>
      <c r="D924" s="27"/>
      <c r="E924" s="27"/>
    </row>
    <row r="925">
      <c r="A925" s="27"/>
      <c r="B925" s="52"/>
      <c r="C925" s="27"/>
      <c r="D925" s="27"/>
      <c r="E925" s="27"/>
    </row>
    <row r="926">
      <c r="A926" s="27"/>
      <c r="B926" s="52"/>
      <c r="C926" s="27"/>
      <c r="D926" s="27"/>
      <c r="E926" s="27"/>
    </row>
    <row r="927">
      <c r="A927" s="27"/>
      <c r="B927" s="52"/>
      <c r="C927" s="27"/>
      <c r="D927" s="27"/>
      <c r="E927" s="27"/>
    </row>
    <row r="928">
      <c r="A928" s="27"/>
      <c r="B928" s="52"/>
      <c r="C928" s="27"/>
      <c r="D928" s="27"/>
      <c r="E928" s="27"/>
    </row>
    <row r="929">
      <c r="A929" s="27"/>
      <c r="B929" s="52"/>
      <c r="C929" s="27"/>
      <c r="D929" s="27"/>
      <c r="E929" s="27"/>
    </row>
    <row r="930">
      <c r="A930" s="27"/>
      <c r="B930" s="52"/>
      <c r="C930" s="27"/>
      <c r="D930" s="27"/>
      <c r="E930" s="27"/>
    </row>
    <row r="931">
      <c r="A931" s="27"/>
      <c r="B931" s="52"/>
      <c r="C931" s="27"/>
      <c r="D931" s="27"/>
      <c r="E931" s="27"/>
    </row>
    <row r="932">
      <c r="A932" s="27"/>
      <c r="B932" s="52"/>
      <c r="C932" s="27"/>
      <c r="D932" s="27"/>
      <c r="E932" s="27"/>
    </row>
    <row r="933">
      <c r="A933" s="27"/>
      <c r="B933" s="52"/>
      <c r="C933" s="27"/>
      <c r="D933" s="27"/>
      <c r="E933" s="27"/>
    </row>
    <row r="934">
      <c r="A934" s="27"/>
      <c r="B934" s="52"/>
      <c r="C934" s="27"/>
      <c r="D934" s="27"/>
      <c r="E934" s="27"/>
    </row>
    <row r="935">
      <c r="A935" s="27"/>
      <c r="B935" s="52"/>
      <c r="C935" s="27"/>
      <c r="D935" s="27"/>
      <c r="E935" s="27"/>
    </row>
    <row r="936">
      <c r="A936" s="27"/>
      <c r="B936" s="52"/>
      <c r="C936" s="27"/>
      <c r="D936" s="27"/>
      <c r="E936" s="27"/>
    </row>
    <row r="937">
      <c r="A937" s="27"/>
      <c r="B937" s="52"/>
      <c r="C937" s="27"/>
      <c r="D937" s="27"/>
      <c r="E937" s="27"/>
    </row>
    <row r="938">
      <c r="A938" s="27"/>
      <c r="B938" s="52"/>
      <c r="C938" s="27"/>
      <c r="D938" s="27"/>
      <c r="E938" s="27"/>
    </row>
    <row r="939">
      <c r="A939" s="27"/>
      <c r="B939" s="52"/>
      <c r="C939" s="27"/>
      <c r="D939" s="27"/>
      <c r="E939" s="27"/>
    </row>
    <row r="940">
      <c r="A940" s="27"/>
      <c r="B940" s="52"/>
      <c r="C940" s="27"/>
      <c r="D940" s="27"/>
      <c r="E940" s="27"/>
    </row>
    <row r="941">
      <c r="A941" s="27"/>
      <c r="B941" s="52"/>
      <c r="C941" s="27"/>
      <c r="D941" s="27"/>
      <c r="E941" s="27"/>
    </row>
    <row r="942">
      <c r="A942" s="27"/>
      <c r="B942" s="52"/>
      <c r="C942" s="27"/>
      <c r="D942" s="27"/>
      <c r="E942" s="27"/>
    </row>
    <row r="943">
      <c r="A943" s="27"/>
      <c r="B943" s="52"/>
      <c r="C943" s="27"/>
      <c r="D943" s="27"/>
      <c r="E943" s="27"/>
    </row>
    <row r="944">
      <c r="A944" s="27"/>
      <c r="B944" s="52"/>
      <c r="C944" s="27"/>
      <c r="D944" s="27"/>
      <c r="E944" s="27"/>
    </row>
    <row r="945">
      <c r="A945" s="27"/>
      <c r="B945" s="52"/>
      <c r="C945" s="27"/>
      <c r="D945" s="27"/>
      <c r="E945" s="27"/>
    </row>
    <row r="946">
      <c r="A946" s="27"/>
      <c r="B946" s="52"/>
      <c r="C946" s="27"/>
      <c r="D946" s="27"/>
      <c r="E946" s="27"/>
    </row>
    <row r="947">
      <c r="A947" s="27"/>
      <c r="B947" s="52"/>
      <c r="C947" s="27"/>
      <c r="D947" s="27"/>
      <c r="E947" s="27"/>
    </row>
    <row r="948">
      <c r="A948" s="27"/>
      <c r="B948" s="52"/>
      <c r="C948" s="27"/>
      <c r="D948" s="27"/>
      <c r="E948" s="27"/>
    </row>
    <row r="949">
      <c r="A949" s="27"/>
      <c r="B949" s="52"/>
      <c r="C949" s="27"/>
      <c r="D949" s="27"/>
      <c r="E949" s="27"/>
    </row>
    <row r="950">
      <c r="A950" s="27"/>
      <c r="B950" s="52"/>
      <c r="C950" s="27"/>
      <c r="D950" s="27"/>
      <c r="E950" s="27"/>
    </row>
    <row r="951">
      <c r="A951" s="27"/>
      <c r="B951" s="52"/>
      <c r="C951" s="27"/>
      <c r="D951" s="27"/>
      <c r="E951" s="27"/>
    </row>
    <row r="952">
      <c r="A952" s="27"/>
      <c r="B952" s="52"/>
      <c r="C952" s="27"/>
      <c r="D952" s="27"/>
      <c r="E952" s="27"/>
    </row>
    <row r="953">
      <c r="A953" s="27"/>
      <c r="B953" s="52"/>
      <c r="C953" s="27"/>
      <c r="D953" s="27"/>
      <c r="E953" s="27"/>
    </row>
    <row r="954">
      <c r="A954" s="27"/>
      <c r="B954" s="52"/>
      <c r="C954" s="27"/>
      <c r="D954" s="27"/>
      <c r="E954" s="27"/>
    </row>
    <row r="955">
      <c r="A955" s="27"/>
      <c r="B955" s="52"/>
      <c r="C955" s="27"/>
      <c r="D955" s="27"/>
      <c r="E955" s="27"/>
    </row>
    <row r="956">
      <c r="A956" s="27"/>
      <c r="B956" s="52"/>
      <c r="C956" s="27"/>
      <c r="D956" s="27"/>
      <c r="E956" s="27"/>
    </row>
    <row r="957">
      <c r="A957" s="27"/>
      <c r="B957" s="52"/>
      <c r="C957" s="27"/>
      <c r="D957" s="27"/>
      <c r="E957" s="27"/>
    </row>
    <row r="958">
      <c r="A958" s="27"/>
      <c r="B958" s="52"/>
      <c r="C958" s="27"/>
      <c r="D958" s="27"/>
      <c r="E958" s="27"/>
    </row>
    <row r="959">
      <c r="A959" s="27"/>
      <c r="B959" s="52"/>
      <c r="C959" s="27"/>
      <c r="D959" s="27"/>
      <c r="E959" s="27"/>
    </row>
    <row r="960">
      <c r="A960" s="27"/>
      <c r="B960" s="52"/>
      <c r="C960" s="27"/>
      <c r="D960" s="27"/>
      <c r="E960" s="27"/>
    </row>
    <row r="961">
      <c r="A961" s="27"/>
      <c r="B961" s="52"/>
      <c r="C961" s="27"/>
      <c r="D961" s="27"/>
      <c r="E961" s="27"/>
    </row>
    <row r="962">
      <c r="A962" s="27"/>
      <c r="B962" s="52"/>
      <c r="C962" s="27"/>
      <c r="D962" s="27"/>
      <c r="E962" s="27"/>
    </row>
    <row r="963">
      <c r="A963" s="27"/>
      <c r="B963" s="52"/>
      <c r="C963" s="27"/>
      <c r="D963" s="27"/>
      <c r="E963" s="27"/>
    </row>
    <row r="964">
      <c r="A964" s="27"/>
      <c r="B964" s="52"/>
      <c r="C964" s="27"/>
      <c r="D964" s="27"/>
      <c r="E964" s="27"/>
    </row>
    <row r="965">
      <c r="A965" s="27"/>
      <c r="B965" s="52"/>
      <c r="C965" s="27"/>
      <c r="D965" s="27"/>
      <c r="E965" s="27"/>
    </row>
    <row r="966">
      <c r="A966" s="27"/>
      <c r="B966" s="52"/>
      <c r="C966" s="27"/>
      <c r="D966" s="27"/>
      <c r="E966" s="27"/>
    </row>
    <row r="967">
      <c r="A967" s="27"/>
      <c r="B967" s="52"/>
      <c r="C967" s="27"/>
      <c r="D967" s="27"/>
      <c r="E967" s="27"/>
    </row>
    <row r="968">
      <c r="A968" s="27"/>
      <c r="B968" s="52"/>
      <c r="C968" s="27"/>
      <c r="D968" s="27"/>
      <c r="E968" s="27"/>
    </row>
    <row r="969">
      <c r="A969" s="27"/>
      <c r="B969" s="52"/>
      <c r="C969" s="27"/>
      <c r="D969" s="27"/>
      <c r="E969" s="27"/>
    </row>
    <row r="970">
      <c r="A970" s="27"/>
      <c r="B970" s="52"/>
      <c r="C970" s="27"/>
      <c r="D970" s="27"/>
      <c r="E970" s="27"/>
    </row>
    <row r="971">
      <c r="A971" s="27"/>
      <c r="B971" s="52"/>
      <c r="C971" s="27"/>
      <c r="D971" s="27"/>
      <c r="E971" s="27"/>
    </row>
    <row r="972">
      <c r="A972" s="27"/>
      <c r="B972" s="52"/>
      <c r="C972" s="27"/>
      <c r="D972" s="27"/>
      <c r="E972" s="27"/>
    </row>
    <row r="973">
      <c r="A973" s="27"/>
      <c r="B973" s="52"/>
      <c r="C973" s="27"/>
      <c r="D973" s="27"/>
      <c r="E973" s="27"/>
    </row>
    <row r="974">
      <c r="A974" s="27"/>
      <c r="B974" s="52"/>
      <c r="C974" s="27"/>
      <c r="D974" s="27"/>
      <c r="E974" s="27"/>
    </row>
    <row r="975">
      <c r="A975" s="27"/>
      <c r="B975" s="52"/>
      <c r="C975" s="27"/>
      <c r="D975" s="27"/>
      <c r="E975" s="27"/>
    </row>
    <row r="976">
      <c r="A976" s="27"/>
      <c r="B976" s="52"/>
      <c r="C976" s="27"/>
      <c r="D976" s="27"/>
      <c r="E976" s="27"/>
    </row>
    <row r="977">
      <c r="A977" s="27"/>
      <c r="B977" s="52"/>
      <c r="C977" s="27"/>
      <c r="D977" s="27"/>
      <c r="E977" s="27"/>
    </row>
    <row r="978">
      <c r="A978" s="27"/>
      <c r="B978" s="52"/>
      <c r="C978" s="27"/>
      <c r="D978" s="27"/>
      <c r="E978" s="27"/>
    </row>
    <row r="979">
      <c r="A979" s="27"/>
      <c r="B979" s="52"/>
      <c r="C979" s="27"/>
      <c r="D979" s="27"/>
      <c r="E979" s="27"/>
    </row>
    <row r="980">
      <c r="A980" s="27"/>
      <c r="B980" s="52"/>
      <c r="C980" s="27"/>
      <c r="D980" s="27"/>
      <c r="E980" s="27"/>
    </row>
    <row r="981">
      <c r="A981" s="27"/>
      <c r="B981" s="52"/>
      <c r="C981" s="27"/>
      <c r="D981" s="27"/>
      <c r="E981" s="27"/>
    </row>
    <row r="982">
      <c r="A982" s="27"/>
      <c r="B982" s="52"/>
      <c r="C982" s="27"/>
      <c r="D982" s="27"/>
      <c r="E982" s="27"/>
    </row>
    <row r="983">
      <c r="A983" s="27"/>
      <c r="B983" s="52"/>
      <c r="C983" s="27"/>
      <c r="D983" s="27"/>
      <c r="E983" s="27"/>
    </row>
    <row r="984">
      <c r="A984" s="27"/>
      <c r="B984" s="52"/>
      <c r="C984" s="27"/>
      <c r="D984" s="27"/>
      <c r="E984" s="27"/>
    </row>
    <row r="985">
      <c r="A985" s="27"/>
      <c r="B985" s="52"/>
      <c r="C985" s="27"/>
      <c r="D985" s="27"/>
      <c r="E985" s="27"/>
    </row>
    <row r="986">
      <c r="A986" s="27"/>
      <c r="B986" s="52"/>
      <c r="C986" s="27"/>
      <c r="D986" s="27"/>
      <c r="E986" s="27"/>
    </row>
    <row r="987">
      <c r="A987" s="27"/>
      <c r="B987" s="52"/>
      <c r="C987" s="27"/>
      <c r="D987" s="27"/>
      <c r="E987" s="27"/>
    </row>
    <row r="988">
      <c r="A988" s="27"/>
      <c r="B988" s="52"/>
      <c r="C988" s="27"/>
      <c r="D988" s="27"/>
      <c r="E988" s="27"/>
    </row>
    <row r="989">
      <c r="A989" s="27"/>
      <c r="B989" s="52"/>
      <c r="C989" s="27"/>
      <c r="D989" s="27"/>
      <c r="E989" s="27"/>
    </row>
    <row r="990">
      <c r="A990" s="27"/>
      <c r="B990" s="52"/>
      <c r="C990" s="27"/>
      <c r="D990" s="27"/>
      <c r="E990" s="27"/>
    </row>
    <row r="991">
      <c r="A991" s="27"/>
      <c r="B991" s="52"/>
      <c r="C991" s="27"/>
      <c r="D991" s="27"/>
      <c r="E991" s="27"/>
    </row>
    <row r="992">
      <c r="A992" s="27"/>
      <c r="B992" s="52"/>
      <c r="C992" s="27"/>
      <c r="D992" s="27"/>
      <c r="E992" s="27"/>
    </row>
    <row r="993">
      <c r="A993" s="27"/>
      <c r="B993" s="52"/>
      <c r="C993" s="27"/>
      <c r="D993" s="27"/>
      <c r="E993" s="27"/>
    </row>
    <row r="994">
      <c r="A994" s="27"/>
      <c r="B994" s="52"/>
      <c r="C994" s="27"/>
      <c r="D994" s="27"/>
      <c r="E994" s="27"/>
    </row>
    <row r="995">
      <c r="A995" s="27"/>
      <c r="B995" s="52"/>
      <c r="C995" s="27"/>
      <c r="D995" s="27"/>
      <c r="E995" s="27"/>
    </row>
    <row r="996">
      <c r="A996" s="27"/>
      <c r="B996" s="52"/>
      <c r="C996" s="27"/>
      <c r="D996" s="27"/>
      <c r="E996" s="27"/>
    </row>
    <row r="997">
      <c r="A997" s="27"/>
      <c r="B997" s="52"/>
      <c r="C997" s="27"/>
      <c r="D997" s="27"/>
      <c r="E997" s="27"/>
    </row>
    <row r="998">
      <c r="A998" s="27"/>
      <c r="B998" s="52"/>
      <c r="C998" s="27"/>
      <c r="D998" s="27"/>
      <c r="E998" s="27"/>
    </row>
    <row r="999">
      <c r="A999" s="27"/>
      <c r="B999" s="52"/>
      <c r="C999" s="27"/>
      <c r="D999" s="27"/>
      <c r="E999" s="27"/>
    </row>
    <row r="1000">
      <c r="A1000" s="27"/>
      <c r="B1000" s="52"/>
      <c r="C1000" s="27"/>
      <c r="D1000" s="27"/>
      <c r="E1000" s="27"/>
    </row>
    <row r="1001">
      <c r="A1001" s="27"/>
      <c r="B1001" s="52"/>
      <c r="C1001" s="27"/>
      <c r="D1001" s="27"/>
      <c r="E1001" s="27"/>
    </row>
    <row r="1002">
      <c r="A1002" s="27"/>
      <c r="B1002" s="52"/>
      <c r="C1002" s="27"/>
      <c r="D1002" s="27"/>
      <c r="E1002" s="27"/>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36.88"/>
    <col customWidth="1" min="4" max="4" width="33.0"/>
    <col customWidth="1" min="5" max="5" width="29.38"/>
  </cols>
  <sheetData>
    <row r="1">
      <c r="A1" s="62"/>
      <c r="B1" s="46" t="s">
        <v>2016</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2017</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""(?i)raceplay""))"),43.0)</f>
        <v>43</v>
      </c>
      <c r="B6" s="51">
        <f>IFERROR(__xludf.DUMMYFUNCTION("""COMPUTED_VALUE"""),44756.0)</f>
        <v>44756</v>
      </c>
      <c r="C6" s="27" t="str">
        <f>IFERROR(__xludf.DUMMYFUNCTION("""COMPUTED_VALUE"""),"Custom Fill: Little Feet Worship")</f>
        <v>Custom Fill: Little Feet Worship</v>
      </c>
      <c r="D6" s="27" t="str">
        <f>IFERROR(__xludf.DUMMYFUNCTION("""COMPUTED_VALUE"""),"Accomplice gifts you a cutie to worship with your dark brown cock.")</f>
        <v>Accomplice gifts you a cutie to worship with your dark brown cock.</v>
      </c>
      <c r="E6" s="27" t="str">
        <f>IFERROR(__xludf.DUMMYFUNCTION("""COMPUTED_VALUE"""),"no penetration, foot job, foot worship, leg/calves fucking, precum trails, raceplay, ap feet")</f>
        <v>no penetration, foot job, foot worship, leg/calves fucking, precum trails, raceplay, ap feet</v>
      </c>
    </row>
    <row r="7">
      <c r="A7" s="52">
        <f>IFERROR(__xludf.DUMMYFUNCTION("""COMPUTED_VALUE"""),44.0)</f>
        <v>44</v>
      </c>
      <c r="B7" s="51">
        <f>IFERROR(__xludf.DUMMYFUNCTION("""COMPUTED_VALUE"""),44757.0)</f>
        <v>44757</v>
      </c>
      <c r="C7" s="27" t="str">
        <f>IFERROR(__xludf.DUMMYFUNCTION("""COMPUTED_VALUE"""),"Silent Call: Futa Mommy Son &amp; BBC Threesome")</f>
        <v>Silent Call: Futa Mommy Son &amp; BBC Threesome</v>
      </c>
      <c r="D7" s="27" t="str">
        <f>IFERROR(__xludf.DUMMYFUNCTION("""COMPUTED_VALUE"""),"Your futa mommy is going through futa heat and uses you with her friend.")</f>
        <v>Your futa mommy is going through futa heat and uses you with her friend.</v>
      </c>
      <c r="E7" s="27" t="str">
        <f>IFERROR(__xludf.DUMMYFUNCTION("""COMPUTED_VALUE"""),"futa mommy, mommy cock, bbc, raceplay, anal, breeding, sissy, futa")</f>
        <v>futa mommy, mommy cock, bbc, raceplay, anal, breeding, sissy, futa</v>
      </c>
    </row>
    <row r="8">
      <c r="A8" s="52">
        <f>IFERROR(__xludf.DUMMYFUNCTION("""COMPUTED_VALUE"""),75.0)</f>
        <v>75</v>
      </c>
      <c r="B8" s="51">
        <f>IFERROR(__xludf.DUMMYFUNCTION("""COMPUTED_VALUE"""),44782.0)</f>
        <v>44782</v>
      </c>
      <c r="C8" s="27" t="str">
        <f>IFERROR(__xludf.DUMMYFUNCTION("""COMPUTED_VALUE"""),"Mommy's BNWO Lesson")</f>
        <v>Mommy's BNWO Lesson</v>
      </c>
      <c r="D8" s="27" t="str">
        <f>IFERROR(__xludf.DUMMYFUNCTION("""COMPUTED_VALUE"""),"Your mom catches you masturbating and decides to give you an important lesson as a QoS. ")</f>
        <v>Your mom catches you masturbating and decides to give you an important lesson as a QoS. </v>
      </c>
      <c r="E8" s="27" t="str">
        <f>IFERROR(__xludf.DUMMYFUNCTION("""COMPUTED_VALUE"""),"BNWO, cuckold, SPH, chastity, mommy finger strokes you, BBC, raceplay, MDlb")</f>
        <v>BNWO, cuckold, SPH, chastity, mommy finger strokes you, BBC, raceplay, MDlb</v>
      </c>
    </row>
    <row r="9">
      <c r="A9" s="52">
        <f>IFERROR(__xludf.DUMMYFUNCTION("""COMPUTED_VALUE"""),100.0)</f>
        <v>100</v>
      </c>
      <c r="B9" s="51">
        <f>IFERROR(__xludf.DUMMYFUNCTION("""COMPUTED_VALUE"""),44806.0)</f>
        <v>44806</v>
      </c>
      <c r="C9" s="27" t="str">
        <f>IFERROR(__xludf.DUMMYFUNCTION("""COMPUTED_VALUE"""),"Custom Fill: Mommy Loses Her Head")</f>
        <v>Custom Fill: Mommy Loses Her Head</v>
      </c>
      <c r="D9" s="27" t="str">
        <f>IFERROR(__xludf.DUMMYFUNCTION("""COMPUTED_VALUE"""),"A white milf (me) introduces an adopted African man into her home for the first day. Her husband is a sissy cucky bitch and she has two daughters. She plays accomplice, cuckoldress, and misogynistic snuff slut. ")</f>
        <v>A white milf (me) introduces an adopted African man into her home for the first day. Her husband is a sissy cucky bitch and she has two daughters. She plays accomplice, cuckoldress, and misogynistic snuff slut. </v>
      </c>
      <c r="E9" s="27" t="str">
        <f>IFERROR(__xludf.DUMMYFUNCTION("""COMPUTED_VALUE"""),"raceplay, cuckold, humiliation, snuff, guillotine, anal, cunt, deepthroat, beheaded throat rape, SPH")</f>
        <v>raceplay, cuckold, humiliation, snuff, guillotine, anal, cunt, deepthroat, beheaded throat rape, SPH</v>
      </c>
    </row>
    <row r="10">
      <c r="A10" s="52">
        <f>IFERROR(__xludf.DUMMYFUNCTION("""COMPUTED_VALUE"""),124.0)</f>
        <v>124</v>
      </c>
      <c r="B10" s="51">
        <f>IFERROR(__xludf.DUMMYFUNCTION("""COMPUTED_VALUE"""),44835.0)</f>
        <v>44835</v>
      </c>
      <c r="C10" s="27" t="str">
        <f>IFERROR(__xludf.DUMMYFUNCTION("""COMPUTED_VALUE"""),"Custom BBC Perv")</f>
        <v>Custom BBC Perv</v>
      </c>
      <c r="D10" s="27" t="str">
        <f>IFERROR(__xludf.DUMMYFUNCTION("""COMPUTED_VALUE"""),"You're a strong black man and I know what makes you weak")</f>
        <v>You're a strong black man and I know what makes you weak</v>
      </c>
      <c r="E10" s="27" t="str">
        <f>IFERROR(__xludf.DUMMYFUNCTION("""COMPUTED_VALUE"""),"raceplay, cock comparison, fantasy harem, cock worship")</f>
        <v>raceplay, cock comparison, fantasy harem, cock worship</v>
      </c>
    </row>
    <row r="11">
      <c r="A11" s="52">
        <f>IFERROR(__xludf.DUMMYFUNCTION("""COMPUTED_VALUE"""),157.0)</f>
        <v>157</v>
      </c>
      <c r="B11" s="51">
        <f>IFERROR(__xludf.DUMMYFUNCTION("""COMPUTED_VALUE"""),44874.0)</f>
        <v>44874</v>
      </c>
      <c r="C11" s="27" t="str">
        <f>IFERROR(__xludf.DUMMYFUNCTION("""COMPUTED_VALUE"""),"Custom: Little Sluts All Girls Academy")</f>
        <v>Custom: Little Sluts All Girls Academy</v>
      </c>
      <c r="D11" s="27" t="str">
        <f>IFERROR(__xludf.DUMMYFUNCTION("""COMPUTED_VALUE""")," I am head mistress Beatrix and I run a school for girls and moms to turn and brainwash them into being lifelong sluts while training their husbands/the fathers to be good cucks. ")</f>
        <v> I am head mistress Beatrix and I run a school for girls and moms to turn and brainwash them into being lifelong sluts while training their husbands/the fathers to be good cucks. </v>
      </c>
      <c r="E11" s="27" t="str">
        <f>IFERROR(__xludf.DUMMYFUNCTION("""COMPUTED_VALUE"""),"BBC sluts, cuckold, 3 hole sluts, gangbangs, deepthroat, misogyny, breeding whores, light cuck humiliation, raceplay, DDlg")</f>
        <v>BBC sluts, cuckold, 3 hole sluts, gangbangs, deepthroat, misogyny, breeding whores, light cuck humiliation, raceplay, DDlg</v>
      </c>
    </row>
    <row r="12">
      <c r="A12" s="52">
        <f>IFERROR(__xludf.DUMMYFUNCTION("""COMPUTED_VALUE"""),176.0)</f>
        <v>176</v>
      </c>
      <c r="B12" s="51">
        <f>IFERROR(__xludf.DUMMYFUNCTION("""COMPUTED_VALUE"""),44894.0)</f>
        <v>44894</v>
      </c>
      <c r="C12" s="27" t="str">
        <f>IFERROR(__xludf.DUMMYFUNCTION("""COMPUTED_VALUE"""),"Script FIll: I'm So Happy I Met a REAL Man (https://pastes.psstaudio.com/post/05388a2eace74dc7b39013ba5636429e)")</f>
        <v>Script FIll: I'm So Happy I Met a REAL Man (https://pastes.psstaudio.com/post/05388a2eace74dc7b39013ba5636429e)</v>
      </c>
      <c r="D12" s="27" t="str">
        <f>IFERROR(__xludf.DUMMYFUNCTION("""COMPUTED_VALUE"""),"A nasty, sick woman meets a real man online and picks him up from the airport and has to pull over because she's so turned on by their talk of what she's going to have him to her kids. This script pretty much hits almost EVERY extreme taboo topic. Here's "&amp;"what a no limit audio sounds like!")</f>
        <v>A nasty, sick woman meets a real man online and picks him up from the airport and has to pull over because she's so turned on by their talk of what she's going to have him to her kids. This script pretty much hits almost EVERY extreme taboo topic. Here's what a no limit audio sounds like!</v>
      </c>
      <c r="E12" s="27" t="str">
        <f>IFERROR(__xludf.DUMMYFUNCTION("""COMPUTED_VALUE"""),"extreme dirty talk, bad mom, forced bi, drug addicted, moaning, masturbation, snuff, raceplay")</f>
        <v>extreme dirty talk, bad mom, forced bi, drug addicted, moaning, masturbation, snuff, raceplay</v>
      </c>
    </row>
    <row r="13">
      <c r="A13" s="52">
        <f>IFERROR(__xludf.DUMMYFUNCTION("""COMPUTED_VALUE"""),188.0)</f>
        <v>188</v>
      </c>
      <c r="B13" s="51">
        <f>IFERROR(__xludf.DUMMYFUNCTION("""COMPUTED_VALUE"""),44908.0)</f>
        <v>44908</v>
      </c>
      <c r="C13" s="27" t="str">
        <f>IFERROR(__xludf.DUMMYFUNCTION("""COMPUTED_VALUE"""),"Custom: Your Wife Accomplice")</f>
        <v>Custom: Your Wife Accomplice</v>
      </c>
      <c r="D13" s="27" t="str">
        <f>IFERROR(__xludf.DUMMYFUNCTION("""COMPUTED_VALUE"""),"I'm your wife and you've recently admitted to me what you are attracted to. I get wrapped up and fall down a depraved hole, insisting you come along with me. Your two nieces are in the plan.")</f>
        <v>I'm your wife and you've recently admitted to me what you are attracted to. I get wrapped up and fall down a depraved hole, insisting you come along with me. Your two nieces are in the plan.</v>
      </c>
      <c r="E13" s="27" t="str">
        <f>IFERROR(__xludf.DUMMYFUNCTION("""COMPUTED_VALUE"""),"handjob in bed, online perv chat, very light cuckold, light raceplay (white, BBC, Indian), molest, finger, gangbang, uncle/nieces, beast, accomplice")</f>
        <v>handjob in bed, online perv chat, very light cuckold, light raceplay (white, BBC, Indian), molest, finger, gangbang, uncle/nieces, beast, accomplice</v>
      </c>
    </row>
    <row r="14">
      <c r="A14" s="52">
        <f>IFERROR(__xludf.DUMMYFUNCTION("""COMPUTED_VALUE"""),208.0)</f>
        <v>208</v>
      </c>
      <c r="B14" s="51">
        <f>IFERROR(__xludf.DUMMYFUNCTION("""COMPUTED_VALUE"""),44937.0)</f>
        <v>44937</v>
      </c>
      <c r="C14" s="27" t="str">
        <f>IFERROR(__xludf.DUMMYFUNCTION("""COMPUTED_VALUE"""),"Custom: A Husband's Debt")</f>
        <v>Custom: A Husband's Debt</v>
      </c>
      <c r="D14" s="27" t="str">
        <f>IFERROR(__xludf.DUMMYFUNCTION("""COMPUTED_VALUE"""),"You (the listener) are in extreme debt. To pay off your debts, your wife, mother, and sister have been sold to me, a brothel owner. You visit the brothel for the first time.")</f>
        <v>You (the listener) are in extreme debt. To pay off your debts, your wife, mother, and sister have been sold to me, a brothel owner. You visit the brothel for the first time.</v>
      </c>
      <c r="E14" s="27" t="str">
        <f>IFERROR(__xludf.DUMMYFUNCTION("""COMPUTED_VALUE"""),"no ap, incest, forced anal/bi, creampie cleanup, cheap whores, sexually slavery, glory hole, mother/son, raceplay, forced cuckoldry, humiliation")</f>
        <v>no ap, incest, forced anal/bi, creampie cleanup, cheap whores, sexually slavery, glory hole, mother/son, raceplay, forced cuckoldry, humiliation</v>
      </c>
    </row>
    <row r="15">
      <c r="A15" s="52">
        <f>IFERROR(__xludf.DUMMYFUNCTION("""COMPUTED_VALUE"""),213.0)</f>
        <v>213</v>
      </c>
      <c r="B15" s="51">
        <f>IFERROR(__xludf.DUMMYFUNCTION("""COMPUTED_VALUE"""),44943.0)</f>
        <v>44943</v>
      </c>
      <c r="C15" s="27" t="str">
        <f>IFERROR(__xludf.DUMMYFUNCTION("""COMPUTED_VALUE"""),"Custom: Dominating Black Daddy")</f>
        <v>Custom: Dominating Black Daddy</v>
      </c>
      <c r="D15" s="27" t="str">
        <f>IFERROR(__xludf.DUMMYFUNCTION("""COMPUTED_VALUE""")," I play a cutie that dominates you. ")</f>
        <v> I play a cutie that dominates you. </v>
      </c>
      <c r="E15" s="27" t="str">
        <f>IFERROR(__xludf.DUMMYFUNCTION("""COMPUTED_VALUE"""),"raceplay, oral, femdom, cowgirl, anal, anal creampie")</f>
        <v>raceplay, oral, femdom, cowgirl, anal, anal creampie</v>
      </c>
    </row>
    <row r="16">
      <c r="A16" s="52">
        <f>IFERROR(__xludf.DUMMYFUNCTION("""COMPUTED_VALUE"""),257.0)</f>
        <v>257</v>
      </c>
      <c r="B16" s="51">
        <f>IFERROR(__xludf.DUMMYFUNCTION("""COMPUTED_VALUE"""),44994.0)</f>
        <v>44994</v>
      </c>
      <c r="C16" s="27" t="str">
        <f>IFERROR(__xludf.DUMMYFUNCTION("""COMPUTED_VALUE"""),"Silent Call: Aryan Princess")</f>
        <v>Silent Call: Aryan Princess</v>
      </c>
      <c r="D16" s="27" t="str">
        <f>IFERROR(__xludf.DUMMYFUNCTION("""COMPUTED_VALUE"""),"Accomplice style. Listener is teased with his biggest weakness. Heavy raceplay.")</f>
        <v>Accomplice style. Listener is teased with his biggest weakness. Heavy raceplay.</v>
      </c>
      <c r="E16" s="27" t="str">
        <f>IFERROR(__xludf.DUMMYFUNCTION("""COMPUTED_VALUE"""),"accomplice, raceplay, oral, all three holes, noncon")</f>
        <v>accomplice, raceplay, oral, all three holes, noncon</v>
      </c>
    </row>
    <row r="17">
      <c r="A17" s="52">
        <f>IFERROR(__xludf.DUMMYFUNCTION("""COMPUTED_VALUE"""),263.0)</f>
        <v>263</v>
      </c>
      <c r="B17" s="51">
        <f>IFERROR(__xludf.DUMMYFUNCTION("""COMPUTED_VALUE"""),45001.0)</f>
        <v>45001</v>
      </c>
      <c r="C17" s="27" t="str">
        <f>IFERROR(__xludf.DUMMYFUNCTION("""COMPUTED_VALUE"""),"Script FIll: Black Master's Loli Doll")</f>
        <v>Script FIll: Black Master's Loli Doll</v>
      </c>
      <c r="D17" s="27" t="str">
        <f>IFERROR(__xludf.DUMMYFUNCTION("""COMPUTED_VALUE"""),"My take at a loli voice. A girl serves her black master with her mouth. ")</f>
        <v>My take at a loli voice. A girl serves her black master with her mouth. </v>
      </c>
      <c r="E17" s="27" t="str">
        <f>IFERROR(__xludf.DUMMYFUNCTION("""COMPUTED_VALUE"""),"teasing, oral sfx, raceplay, n slur, cum on tits")</f>
        <v>teasing, oral sfx, raceplay, n slur, cum on tits</v>
      </c>
    </row>
    <row r="18">
      <c r="A18" s="52">
        <f>IFERROR(__xludf.DUMMYFUNCTION("""COMPUTED_VALUE"""),281.0)</f>
        <v>281</v>
      </c>
      <c r="B18" s="51">
        <f>IFERROR(__xludf.DUMMYFUNCTION("""COMPUTED_VALUE"""),45021.0)</f>
        <v>45021</v>
      </c>
      <c r="C18" s="27" t="str">
        <f>IFERROR(__xludf.DUMMYFUNCTION("""COMPUTED_VALUE"""),"Custom: Bad Mommy Accomplice")</f>
        <v>Custom: Bad Mommy Accomplice</v>
      </c>
      <c r="D18" s="27" t="str">
        <f>IFERROR(__xludf.DUMMYFUNCTION("""COMPUTED_VALUE"""),"I role-play as a bad mom, desperate for rent money and offer the listener a deal if he helps me out. ")</f>
        <v>I role-play as a bad mom, desperate for rent money and offer the listener a deal if he helps me out. </v>
      </c>
      <c r="E18" s="27" t="str">
        <f>IFERROR(__xludf.DUMMYFUNCTION("""COMPUTED_VALUE"""),"bad mom, accomplice, racial slur, raceplay, creampie")</f>
        <v>bad mom, accomplice, racial slur, raceplay, creampie</v>
      </c>
    </row>
    <row r="19">
      <c r="A19" s="52">
        <f>IFERROR(__xludf.DUMMYFUNCTION("""COMPUTED_VALUE"""),307.0)</f>
        <v>307</v>
      </c>
      <c r="B19" s="51">
        <f>IFERROR(__xludf.DUMMYFUNCTION("""COMPUTED_VALUE"""),45058.0)</f>
        <v>45058</v>
      </c>
      <c r="C19" s="27" t="str">
        <f>IFERROR(__xludf.DUMMYFUNCTION("""COMPUTED_VALUE"""),"Custom: Mommy Gets Gangbanged")</f>
        <v>Custom: Mommy Gets Gangbanged</v>
      </c>
      <c r="D19" s="27" t="str">
        <f>IFERROR(__xludf.DUMMYFUNCTION("""COMPUTED_VALUE"""),"You already know I’m a slutty mommy. I invite three neighbor brothers over so I can give them a special wanking. They get aggressive and want more than wanking. ")</f>
        <v>You already know I’m a slutty mommy. I invite three neighbor brothers over so I can give them a special wanking. They get aggressive and want more than wanking. </v>
      </c>
      <c r="E19" s="27" t="str">
        <f>IFERROR(__xludf.DUMMYFUNCTION("""COMPUTED_VALUE"""),"MDlb, raceplay, slutty milf, cum on tits, noncon, anal, creampie, force, cream-pie cleanup, CEI")</f>
        <v>MDlb, raceplay, slutty milf, cum on tits, noncon, anal, creampie, force, cream-pie cleanup, CEI</v>
      </c>
    </row>
    <row r="20">
      <c r="A20" s="52">
        <f>IFERROR(__xludf.DUMMYFUNCTION("""COMPUTED_VALUE"""),323.0)</f>
        <v>323</v>
      </c>
      <c r="B20" s="51">
        <f>IFERROR(__xludf.DUMMYFUNCTION("""COMPUTED_VALUE"""),45089.0)</f>
        <v>45089</v>
      </c>
      <c r="C20" s="27" t="str">
        <f>IFERROR(__xludf.DUMMYFUNCTION("""COMPUTED_VALUE"""),"Custom: Mommy Train")</f>
        <v>Custom: Mommy Train</v>
      </c>
      <c r="D20" s="27" t="str">
        <f>IFERROR(__xludf.DUMMYFUNCTION("""COMPUTED_VALUE"""),"You invite your friends over and I make you watch me enjoy each one, having you help and interact throughout")</f>
        <v>You invite your friends over and I make you watch me enjoy each one, having you help and interact throughout</v>
      </c>
      <c r="E20" s="27" t="str">
        <f>IFERROR(__xludf.DUMMYFUNCTION("""COMPUTED_VALUE"""),"MDlb, handjobs, cuckold, oral, creampie, anal, CEI, tit fuck, kissing, creampie cleanup, fingering, light raceplay")</f>
        <v>MDlb, handjobs, cuckold, oral, creampie, anal, CEI, tit fuck, kissing, creampie cleanup, fingering, light raceplay</v>
      </c>
    </row>
    <row r="21">
      <c r="A21" s="52">
        <f>IFERROR(__xludf.DUMMYFUNCTION("""COMPUTED_VALUE"""),552.0)</f>
        <v>552</v>
      </c>
      <c r="B21" s="51">
        <f>IFERROR(__xludf.DUMMYFUNCTION("""COMPUTED_VALUE"""),45368.0)</f>
        <v>45368</v>
      </c>
      <c r="C21" s="27" t="str">
        <f>IFERROR(__xludf.DUMMYFUNCTION("""COMPUTED_VALUE"""),"Improv: Twerkstar DP")</f>
        <v>Improv: Twerkstar DP</v>
      </c>
      <c r="D21" s="27" t="str">
        <f>IFERROR(__xludf.DUMMYFUNCTION("""COMPUTED_VALUE"""),"A new taboo pornstar shows up on scene to take two BBCs")</f>
        <v>A new taboo pornstar shows up on scene to take two BBCs</v>
      </c>
      <c r="E21" s="27" t="str">
        <f>IFERROR(__xludf.DUMMYFUNCTION("""COMPUTED_VALUE"""),"bbc, raceplay, n slur, double penetration, facial")</f>
        <v>bbc, raceplay, n slur, double penetration, facial</v>
      </c>
    </row>
    <row r="22">
      <c r="A22" s="52">
        <f>IFERROR(__xludf.DUMMYFUNCTION("""COMPUTED_VALUE"""),575.0)</f>
        <v>575</v>
      </c>
      <c r="B22" s="51">
        <f>IFERROR(__xludf.DUMMYFUNCTION("""COMPUTED_VALUE"""),45387.0)</f>
        <v>45387</v>
      </c>
      <c r="C22" s="27" t="str">
        <f>IFERROR(__xludf.DUMMYFUNCTION("""COMPUTED_VALUE"""),"Improv: Interracial Mixing")</f>
        <v>Improv: Interracial Mixing</v>
      </c>
      <c r="D22" s="27" t="str">
        <f>IFERROR(__xludf.DUMMYFUNCTION("""COMPUTED_VALUE"""),"Two ua bff’s and their boyfriends partner swap, experiencing interracial sex for the first time. ")</f>
        <v>Two ua bff’s and their boyfriends partner swap, experiencing interracial sex for the first time. </v>
      </c>
      <c r="E22" s="27" t="str">
        <f>IFERROR(__xludf.DUMMYFUNCTION("""COMPUTED_VALUE"""),"raceplay, n slur, narrative &amp; 1st person, watersports, anal, oral")</f>
        <v>raceplay, n slur, narrative &amp; 1st person, watersports, anal, oral</v>
      </c>
    </row>
    <row r="23">
      <c r="A23" s="52">
        <f>IFERROR(__xludf.DUMMYFUNCTION("""COMPUTED_VALUE"""),588.0)</f>
        <v>588</v>
      </c>
      <c r="B23" s="51">
        <f>IFERROR(__xludf.DUMMYFUNCTION("""COMPUTED_VALUE"""),45404.0)</f>
        <v>45404</v>
      </c>
      <c r="C23" s="27" t="str">
        <f>IFERROR(__xludf.DUMMYFUNCTION("""COMPUTED_VALUE"""),"Improv: White Girl Seduction")</f>
        <v>Improv: White Girl Seduction</v>
      </c>
      <c r="D23" s="27" t="str">
        <f>IFERROR(__xludf.DUMMYFUNCTION("""COMPUTED_VALUE"""),"I role-play as a girl who wants to lose her virginity to the listener who is older and opposite race. ")</f>
        <v>I role-play as a girl who wants to lose her virginity to the listener who is older and opposite race. </v>
      </c>
      <c r="E23" s="27" t="str">
        <f>IFERROR(__xludf.DUMMYFUNCTION("""COMPUTED_VALUE"""),"baiting, raceplay, n slur")</f>
        <v>baiting, raceplay, n slur</v>
      </c>
    </row>
    <row r="24">
      <c r="A24" s="52">
        <f>IFERROR(__xludf.DUMMYFUNCTION("""COMPUTED_VALUE"""),593.0)</f>
        <v>593</v>
      </c>
      <c r="B24" s="51">
        <f>IFERROR(__xludf.DUMMYFUNCTION("""COMPUTED_VALUE"""),45406.0)</f>
        <v>45406</v>
      </c>
      <c r="C24" s="27" t="str">
        <f>IFERROR(__xludf.DUMMYFUNCTION("""COMPUTED_VALUE"""),"Improv: Black Daddy Seduction")</f>
        <v>Improv: Black Daddy Seduction</v>
      </c>
      <c r="D24" s="27" t="str">
        <f>IFERROR(__xludf.DUMMYFUNCTION("""COMPUTED_VALUE"""),"My neighbor has been staring at me and I start developing a crush and decide to bait him into being my boyfriend.")</f>
        <v>My neighbor has been staring at me and I start developing a crush and decide to bait him into being my boyfriend.</v>
      </c>
      <c r="E24" s="27" t="str">
        <f>IFERROR(__xludf.DUMMYFUNCTION("""COMPUTED_VALUE"""),"raceplay, baiting, creampie, breeding")</f>
        <v>raceplay, baiting, creampie, breeding</v>
      </c>
    </row>
    <row r="25">
      <c r="A25" s="52">
        <f>IFERROR(__xludf.DUMMYFUNCTION("""COMPUTED_VALUE"""),600.0)</f>
        <v>600</v>
      </c>
      <c r="B25" s="51">
        <f>IFERROR(__xludf.DUMMYFUNCTION("""COMPUTED_VALUE"""),45418.0)</f>
        <v>45418</v>
      </c>
      <c r="C25" s="27" t="str">
        <f>IFERROR(__xludf.DUMMYFUNCTION("""COMPUTED_VALUE"""),"Improv: Black Daddy Public JOI")</f>
        <v>Improv: Black Daddy Public JOI</v>
      </c>
      <c r="D25" s="27" t="str">
        <f>IFERROR(__xludf.DUMMYFUNCTION("""COMPUTED_VALUE"""),"For black daddies wanting a public park JOI with some raceplay sprinkled ")</f>
        <v>For black daddies wanting a public park JOI with some raceplay sprinkled </v>
      </c>
      <c r="E25" s="27" t="str">
        <f>IFERROR(__xludf.DUMMYFUNCTION("""COMPUTED_VALUE"""),"raceplay, no ap, JOI")</f>
        <v>raceplay, no ap, JOI</v>
      </c>
    </row>
    <row r="26">
      <c r="A26" s="52">
        <f>IFERROR(__xludf.DUMMYFUNCTION("""COMPUTED_VALUE"""),601.0)</f>
        <v>601</v>
      </c>
      <c r="B26" s="51">
        <f>IFERROR(__xludf.DUMMYFUNCTION("""COMPUTED_VALUE"""),45420.0)</f>
        <v>45420</v>
      </c>
      <c r="C26" s="27" t="str">
        <f>IFERROR(__xludf.DUMMYFUNCTION("""COMPUTED_VALUE"""),"Improv: Black Daddy JOI Part 2")</f>
        <v>Improv: Black Daddy JOI Part 2</v>
      </c>
      <c r="D26" s="27" t="str">
        <f>IFERROR(__xludf.DUMMYFUNCTION("""COMPUTED_VALUE"""),"I find black daddy in the park listening to my audio &amp; give him a live JOI")</f>
        <v>I find black daddy in the park listening to my audio &amp; give him a live JOI</v>
      </c>
      <c r="E26" s="27" t="str">
        <f>IFERROR(__xludf.DUMMYFUNCTION("""COMPUTED_VALUE"""),"raceplay, no ap, JOI")</f>
        <v>raceplay, no ap, JOI</v>
      </c>
    </row>
    <row r="27">
      <c r="A27" s="52">
        <f>IFERROR(__xludf.DUMMYFUNCTION("""COMPUTED_VALUE"""),617.0)</f>
        <v>617</v>
      </c>
      <c r="B27" s="51">
        <f>IFERROR(__xludf.DUMMYFUNCTION("""COMPUTED_VALUE"""),45447.0)</f>
        <v>45447</v>
      </c>
      <c r="C27" s="27" t="str">
        <f>IFERROR(__xludf.DUMMYFUNCTION("""COMPUTED_VALUE"""),"Public Sex w/Black Daddy")</f>
        <v>Public Sex w/Black Daddy</v>
      </c>
      <c r="D27" s="27" t="str">
        <f>IFERROR(__xludf.DUMMYFUNCTION("""COMPUTED_VALUE"""),"I encourage black daddy to fuck me hard in public")</f>
        <v>I encourage black daddy to fuck me hard in public</v>
      </c>
      <c r="E27" s="27" t="str">
        <f>IFERROR(__xludf.DUMMYFUNCTION("""COMPUTED_VALUE"""),"raceplay, no ap, public sex")</f>
        <v>raceplay, no ap, public sex</v>
      </c>
    </row>
    <row r="28">
      <c r="A28" s="52">
        <f>IFERROR(__xludf.DUMMYFUNCTION("""COMPUTED_VALUE"""),628.0)</f>
        <v>628</v>
      </c>
      <c r="B28" s="51">
        <f>IFERROR(__xludf.DUMMYFUNCTION("""COMPUTED_VALUE"""),45463.0)</f>
        <v>45463</v>
      </c>
      <c r="C28" s="27" t="str">
        <f>IFERROR(__xludf.DUMMYFUNCTION("""COMPUTED_VALUE"""),"Pretty White Girl Taking")</f>
        <v>Pretty White Girl Taking</v>
      </c>
      <c r="D28" s="27" t="str">
        <f>IFERROR(__xludf.DUMMYFUNCTION("""COMPUTED_VALUE"""),"Short &amp; quick pervert encouragement for a black man. ")</f>
        <v>Short &amp; quick pervert encouragement for a black man. </v>
      </c>
      <c r="E28" s="27" t="str">
        <f>IFERROR(__xludf.DUMMYFUNCTION("""COMPUTED_VALUE"""),"raceplay, noncon, pervert encouragement")</f>
        <v>raceplay, noncon, pervert encouragement</v>
      </c>
    </row>
    <row r="29">
      <c r="A29" s="52">
        <f>IFERROR(__xludf.DUMMYFUNCTION("""COMPUTED_VALUE"""),638.0)</f>
        <v>638</v>
      </c>
      <c r="B29" s="51">
        <f>IFERROR(__xludf.DUMMYFUNCTION("""COMPUTED_VALUE"""),45475.0)</f>
        <v>45475</v>
      </c>
      <c r="C29" s="27" t="str">
        <f>IFERROR(__xludf.DUMMYFUNCTION("""COMPUTED_VALUE"""),"Mom Racially Berates")</f>
        <v>Mom Racially Berates</v>
      </c>
      <c r="D29" s="27" t="str">
        <f>IFERROR(__xludf.DUMMYFUNCTION("""COMPUTED_VALUE"""),"A white mom finds a man that doesn't belong in her daughter's school parking lot. ")</f>
        <v>A white mom finds a man that doesn't belong in her daughter's school parking lot. </v>
      </c>
      <c r="E29" s="27" t="str">
        <f>IFERROR(__xludf.DUMMYFUNCTION("""COMPUTED_VALUE"""),"raceplay, foot fetish, humiliation")</f>
        <v>raceplay, foot fetish, humiliation</v>
      </c>
    </row>
    <row r="30">
      <c r="A30" s="52">
        <f>IFERROR(__xludf.DUMMYFUNCTION("""COMPUTED_VALUE"""),640.0)</f>
        <v>640</v>
      </c>
      <c r="B30" s="51">
        <f>IFERROR(__xludf.DUMMYFUNCTION("""COMPUTED_VALUE"""),45484.0)</f>
        <v>45484</v>
      </c>
      <c r="C30" s="27" t="str">
        <f>IFERROR(__xludf.DUMMYFUNCTION("""COMPUTED_VALUE"""),"Foot Perv Humuliation &amp; Blasphemy")</f>
        <v>Foot Perv Humuliation &amp; Blasphemy</v>
      </c>
      <c r="D30" s="27" t="str">
        <f>IFERROR(__xludf.DUMMYFUNCTION("""COMPUTED_VALUE"""),"I roleplay as a mother who berates a man for being in my all white church looking at feet. ")</f>
        <v>I roleplay as a mother who berates a man for being in my all white church looking at feet. </v>
      </c>
      <c r="E30" s="27" t="str">
        <f>IFERROR(__xludf.DUMMYFUNCTION("""COMPUTED_VALUE"""),"raceplay, blasphemy, humiliation, foot fetish, ap feet")</f>
        <v>raceplay, blasphemy, humiliation, foot fetish, ap feet</v>
      </c>
    </row>
    <row r="31">
      <c r="A31" s="52">
        <f>IFERROR(__xludf.DUMMYFUNCTION("""COMPUTED_VALUE"""),642.0)</f>
        <v>642</v>
      </c>
      <c r="B31" s="51">
        <f>IFERROR(__xludf.DUMMYFUNCTION("""COMPUTED_VALUE"""),45488.0)</f>
        <v>45488</v>
      </c>
      <c r="C31" s="27" t="str">
        <f>IFERROR(__xludf.DUMMYFUNCTION("""COMPUTED_VALUE"""),"Juneteenth Celebration")</f>
        <v>Juneteenth Celebration</v>
      </c>
      <c r="D31" s="27" t="str">
        <f>IFERROR(__xludf.DUMMYFUNCTION("""COMPUTED_VALUE"""),"A quickie raceplay improv file")</f>
        <v>A quickie raceplay improv file</v>
      </c>
      <c r="E31" s="27" t="str">
        <f>IFERROR(__xludf.DUMMYFUNCTION("""COMPUTED_VALUE"""),"raceplay, gender &amp; race traitor, mommy accomplice, noncon")</f>
        <v>raceplay, gender &amp; race traitor, mommy accomplice, noncon</v>
      </c>
    </row>
    <row r="32">
      <c r="A32" s="52">
        <f>IFERROR(__xludf.DUMMYFUNCTION("""COMPUTED_VALUE"""),647.0)</f>
        <v>647</v>
      </c>
      <c r="B32" s="51">
        <f>IFERROR(__xludf.DUMMYFUNCTION("""COMPUTED_VALUE"""),45497.0)</f>
        <v>45497</v>
      </c>
      <c r="C32" s="27" t="str">
        <f>IFERROR(__xludf.DUMMYFUNCTION("""COMPUTED_VALUE"""),"Gay Raceplay JOI")</f>
        <v>Gay Raceplay JOI</v>
      </c>
      <c r="D32" s="27" t="str">
        <f>IFERROR(__xludf.DUMMYFUNCTION("""COMPUTED_VALUE"""),"Just an encouraged bi, raceplay JOI")</f>
        <v>Just an encouraged bi, raceplay JOI</v>
      </c>
      <c r="E32" s="27" t="str">
        <f>IFERROR(__xludf.DUMMYFUNCTION("""COMPUTED_VALUE"""),"raceplay, encouraged bi, JOI")</f>
        <v>raceplay, encouraged bi, JOI</v>
      </c>
    </row>
    <row r="33">
      <c r="A33" s="52">
        <f>IFERROR(__xludf.DUMMYFUNCTION("""COMPUTED_VALUE"""),673.0)</f>
        <v>673</v>
      </c>
      <c r="B33" s="51">
        <f>IFERROR(__xludf.DUMMYFUNCTION("""COMPUTED_VALUE"""),45552.0)</f>
        <v>45552</v>
      </c>
      <c r="C33" s="27" t="str">
        <f>IFERROR(__xludf.DUMMYFUNCTION("""COMPUTED_VALUE"""),"Basic White Mom Feet Humiliation")</f>
        <v>Basic White Mom Feet Humiliation</v>
      </c>
      <c r="D33" s="27" t="str">
        <f>IFERROR(__xludf.DUMMYFUNCTION("""COMPUTED_VALUE"""),"A mom is excited for all things pumpkin spice at her local Starbucks until she noticed a man acting sus in his car in the parking lot. She berates him and humiliates his dirty deeds. ")</f>
        <v>A mom is excited for all things pumpkin spice at her local Starbucks until she noticed a man acting sus in his car in the parking lot. She berates him and humiliates his dirty deeds. </v>
      </c>
      <c r="E33" s="27" t="str">
        <f>IFERROR(__xludf.DUMMYFUNCTION("""COMPUTED_VALUE"""),"raceplay, foot fetish, humiliation")</f>
        <v>raceplay, foot fetish, humiliation</v>
      </c>
    </row>
    <row r="34">
      <c r="A34" s="52"/>
      <c r="B34" s="52"/>
      <c r="C34" s="27"/>
      <c r="D34" s="27"/>
      <c r="E34" s="27"/>
    </row>
    <row r="35">
      <c r="A35" s="52"/>
      <c r="B35" s="52"/>
      <c r="C35" s="27"/>
      <c r="D35" s="27"/>
      <c r="E35" s="27"/>
    </row>
    <row r="36">
      <c r="A36" s="52"/>
      <c r="B36" s="52"/>
      <c r="C36" s="27"/>
      <c r="D36" s="27"/>
      <c r="E36" s="27"/>
    </row>
    <row r="37">
      <c r="A37" s="52"/>
      <c r="B37" s="52"/>
      <c r="C37" s="27"/>
      <c r="D37" s="27"/>
      <c r="E37" s="27"/>
    </row>
    <row r="38">
      <c r="A38" s="52"/>
      <c r="B38" s="52"/>
      <c r="C38" s="27"/>
      <c r="D38" s="27"/>
      <c r="E38" s="27"/>
    </row>
    <row r="39">
      <c r="A39" s="52"/>
      <c r="B39" s="52"/>
      <c r="C39" s="27"/>
      <c r="D39" s="27"/>
      <c r="E39" s="27"/>
    </row>
    <row r="40">
      <c r="A40" s="52"/>
      <c r="B40" s="52"/>
      <c r="C40" s="27"/>
      <c r="D40" s="27"/>
      <c r="E40" s="27"/>
    </row>
    <row r="41">
      <c r="A41" s="52"/>
      <c r="B41" s="52"/>
      <c r="C41" s="27"/>
      <c r="D41" s="27"/>
      <c r="E41" s="27"/>
    </row>
    <row r="42">
      <c r="A42" s="52"/>
      <c r="B42" s="52"/>
      <c r="C42" s="27"/>
      <c r="D42" s="27"/>
      <c r="E42" s="27"/>
    </row>
    <row r="43">
      <c r="A43" s="52"/>
      <c r="B43" s="52"/>
      <c r="C43" s="27"/>
      <c r="D43" s="27"/>
      <c r="E43" s="27"/>
    </row>
    <row r="44">
      <c r="A44" s="52"/>
      <c r="B44" s="52"/>
      <c r="C44" s="27"/>
      <c r="D44" s="27"/>
      <c r="E44" s="27"/>
    </row>
    <row r="45">
      <c r="A45" s="52"/>
      <c r="B45" s="52"/>
      <c r="C45" s="27"/>
      <c r="D45" s="27"/>
      <c r="E45" s="27"/>
    </row>
    <row r="46">
      <c r="A46" s="52"/>
      <c r="B46" s="52"/>
      <c r="C46" s="27"/>
      <c r="D46" s="27"/>
      <c r="E46" s="27"/>
    </row>
    <row r="47">
      <c r="A47" s="52"/>
      <c r="B47" s="52"/>
      <c r="C47" s="27"/>
      <c r="D47" s="27"/>
      <c r="E47" s="27"/>
    </row>
    <row r="48">
      <c r="A48" s="52"/>
      <c r="B48" s="52"/>
      <c r="C48" s="27"/>
      <c r="D48" s="27"/>
      <c r="E48" s="27"/>
    </row>
    <row r="49">
      <c r="A49" s="52"/>
      <c r="B49" s="52"/>
      <c r="C49" s="27"/>
      <c r="D49" s="27"/>
      <c r="E49" s="27"/>
    </row>
    <row r="50">
      <c r="A50" s="52"/>
      <c r="B50" s="52"/>
      <c r="C50" s="27"/>
      <c r="D50" s="27"/>
      <c r="E50" s="27"/>
    </row>
    <row r="51">
      <c r="A51" s="52"/>
      <c r="B51" s="52"/>
      <c r="C51" s="27"/>
      <c r="D51" s="27"/>
      <c r="E51" s="27"/>
    </row>
    <row r="52">
      <c r="A52" s="52"/>
      <c r="B52" s="52"/>
      <c r="C52" s="27"/>
      <c r="D52" s="27"/>
      <c r="E52" s="27"/>
    </row>
    <row r="53">
      <c r="A53" s="52"/>
      <c r="B53" s="52"/>
      <c r="C53" s="27"/>
      <c r="D53" s="27"/>
      <c r="E53" s="27"/>
    </row>
    <row r="54">
      <c r="A54" s="52"/>
      <c r="B54" s="52"/>
      <c r="C54" s="27"/>
      <c r="D54" s="27"/>
      <c r="E54" s="27"/>
    </row>
    <row r="55">
      <c r="A55" s="52"/>
      <c r="B55" s="52"/>
      <c r="C55" s="27"/>
      <c r="D55" s="27"/>
      <c r="E55" s="27"/>
    </row>
    <row r="56">
      <c r="A56" s="52"/>
      <c r="B56" s="52"/>
      <c r="C56" s="27"/>
      <c r="D56" s="27"/>
      <c r="E56" s="27"/>
    </row>
    <row r="57">
      <c r="A57" s="52"/>
      <c r="B57" s="52"/>
      <c r="C57" s="27"/>
      <c r="D57" s="27"/>
      <c r="E57" s="27"/>
    </row>
    <row r="58">
      <c r="A58" s="52"/>
      <c r="B58" s="52"/>
      <c r="C58" s="27"/>
      <c r="D58" s="27"/>
      <c r="E58" s="27"/>
    </row>
    <row r="59">
      <c r="A59" s="52"/>
      <c r="B59" s="52"/>
      <c r="C59" s="27"/>
      <c r="D59" s="27"/>
      <c r="E59" s="27"/>
    </row>
    <row r="60">
      <c r="A60" s="52"/>
      <c r="B60" s="52"/>
      <c r="C60" s="27"/>
      <c r="D60" s="27"/>
      <c r="E60" s="27"/>
    </row>
    <row r="61">
      <c r="A61" s="52"/>
      <c r="B61" s="52"/>
      <c r="C61" s="27"/>
      <c r="D61" s="27"/>
      <c r="E61" s="27"/>
    </row>
    <row r="62">
      <c r="A62" s="52"/>
      <c r="B62" s="52"/>
      <c r="C62" s="27"/>
      <c r="D62" s="27"/>
      <c r="E62" s="27"/>
    </row>
    <row r="63">
      <c r="A63" s="52"/>
      <c r="B63" s="52"/>
      <c r="C63" s="27"/>
      <c r="D63" s="27"/>
      <c r="E63" s="27"/>
    </row>
    <row r="64">
      <c r="A64" s="52"/>
      <c r="B64" s="52"/>
      <c r="C64" s="27"/>
      <c r="D64" s="27"/>
      <c r="E64" s="27"/>
    </row>
    <row r="65">
      <c r="A65" s="52"/>
      <c r="B65" s="52"/>
      <c r="C65" s="27"/>
      <c r="D65" s="27"/>
      <c r="E65" s="27"/>
    </row>
    <row r="66">
      <c r="A66" s="52"/>
      <c r="B66" s="52"/>
      <c r="C66" s="27"/>
      <c r="D66" s="27"/>
      <c r="E66" s="27"/>
    </row>
    <row r="67">
      <c r="A67" s="52"/>
      <c r="B67" s="52"/>
      <c r="C67" s="27"/>
      <c r="D67" s="27"/>
      <c r="E67" s="27"/>
    </row>
    <row r="68">
      <c r="A68" s="52"/>
      <c r="B68" s="52"/>
      <c r="C68" s="27"/>
      <c r="D68" s="27"/>
      <c r="E68" s="27"/>
    </row>
    <row r="69">
      <c r="A69" s="52"/>
      <c r="B69" s="52"/>
      <c r="C69" s="27"/>
      <c r="D69" s="27"/>
      <c r="E69" s="27"/>
    </row>
    <row r="70">
      <c r="A70" s="52"/>
      <c r="B70" s="52"/>
      <c r="C70" s="27"/>
      <c r="D70" s="27"/>
      <c r="E70" s="27"/>
    </row>
    <row r="71">
      <c r="A71" s="52"/>
      <c r="B71" s="52"/>
      <c r="C71" s="27"/>
      <c r="D71" s="27"/>
      <c r="E71" s="27"/>
    </row>
    <row r="72">
      <c r="A72" s="52"/>
      <c r="B72" s="52"/>
      <c r="C72" s="27"/>
      <c r="D72" s="27"/>
      <c r="E72" s="27"/>
    </row>
    <row r="73">
      <c r="A73" s="52"/>
      <c r="B73" s="52"/>
      <c r="C73" s="27"/>
      <c r="D73" s="27"/>
      <c r="E73" s="27"/>
    </row>
    <row r="74">
      <c r="A74" s="52"/>
      <c r="B74" s="52"/>
      <c r="C74" s="27"/>
      <c r="D74" s="27"/>
      <c r="E74" s="27"/>
    </row>
    <row r="75">
      <c r="A75" s="52"/>
      <c r="B75" s="52"/>
      <c r="C75" s="27"/>
      <c r="D75" s="27"/>
      <c r="E75" s="27"/>
    </row>
    <row r="76">
      <c r="A76" s="52"/>
      <c r="B76" s="52"/>
      <c r="C76" s="27"/>
      <c r="D76" s="27"/>
      <c r="E76" s="27"/>
    </row>
    <row r="77">
      <c r="A77" s="52"/>
      <c r="B77" s="52"/>
      <c r="C77" s="27"/>
      <c r="D77" s="27"/>
      <c r="E77" s="27"/>
    </row>
    <row r="78">
      <c r="A78" s="52"/>
      <c r="B78" s="52"/>
      <c r="C78" s="27"/>
      <c r="D78" s="27"/>
      <c r="E78" s="27"/>
    </row>
    <row r="79">
      <c r="A79" s="52"/>
      <c r="B79" s="52"/>
      <c r="C79" s="27"/>
      <c r="D79" s="27"/>
      <c r="E79" s="27"/>
    </row>
    <row r="80">
      <c r="A80" s="52"/>
      <c r="B80" s="52"/>
      <c r="C80" s="27"/>
      <c r="D80" s="27"/>
      <c r="E80" s="27"/>
    </row>
    <row r="81">
      <c r="A81" s="52"/>
      <c r="B81" s="52"/>
      <c r="C81" s="27"/>
      <c r="D81" s="27"/>
      <c r="E81" s="27"/>
    </row>
    <row r="82">
      <c r="A82" s="52"/>
      <c r="B82" s="52"/>
      <c r="C82" s="27"/>
      <c r="D82" s="27"/>
      <c r="E82" s="27"/>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31.0"/>
    <col customWidth="1" min="4" max="4" width="31.13"/>
    <col customWidth="1" min="5" max="5" width="24.5"/>
  </cols>
  <sheetData>
    <row r="1">
      <c r="A1" s="62"/>
      <c r="B1" s="46" t="s">
        <v>2018</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2019</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""(?i)extreme ap""))"),22.0)</f>
        <v>22</v>
      </c>
      <c r="B6" s="51">
        <f>IFERROR(__xludf.DUMMYFUNCTION("""COMPUTED_VALUE"""),44745.0)</f>
        <v>44745</v>
      </c>
      <c r="C6" s="27" t="str">
        <f>IFERROR(__xludf.DUMMYFUNCTION("""COMPUTED_VALUE"""),"Silent Call: Baby Accomplice ")</f>
        <v>Silent Call: Baby Accomplice </v>
      </c>
      <c r="D6" s="27" t="str">
        <f>IFERROR(__xludf.DUMMYFUNCTION("""COMPUTED_VALUE"""),"Accomplice steals a tiny little one for you.")</f>
        <v>Accomplice steals a tiny little one for you.</v>
      </c>
      <c r="E6" s="27" t="str">
        <f>IFERROR(__xludf.DUMMYFUNCTION("""COMPUTED_VALUE"""),"kidnap, accomplice, extreme ap")</f>
        <v>kidnap, accomplice, extreme ap</v>
      </c>
    </row>
    <row r="7">
      <c r="A7" s="52">
        <f>IFERROR(__xludf.DUMMYFUNCTION("""COMPUTED_VALUE"""),58.0)</f>
        <v>58</v>
      </c>
      <c r="B7" s="51">
        <f>IFERROR(__xludf.DUMMYFUNCTION("""COMPUTED_VALUE"""),44771.0)</f>
        <v>44771</v>
      </c>
      <c r="C7" s="27" t="str">
        <f>IFERROR(__xludf.DUMMYFUNCTION("""COMPUTED_VALUE"""),"Silent Call: Quick &amp; Dirty, Futa Mommy Gives Birth")</f>
        <v>Silent Call: Quick &amp; Dirty, Futa Mommy Gives Birth</v>
      </c>
      <c r="D7" s="27" t="str">
        <f>IFERROR(__xludf.DUMMYFUNCTION("""COMPUTED_VALUE"""),"Mommy is giving birth to triplets but decides the last one needs to used for her and your (big sister) pleasure")</f>
        <v>Mommy is giving birth to triplets but decides the last one needs to used for her and your (big sister) pleasure</v>
      </c>
      <c r="E7" s="27" t="str">
        <f>IFERROR(__xludf.DUMMYFUNCTION("""COMPUTED_VALUE"""),"futa, birth, used for pleasure, extreme ap")</f>
        <v>futa, birth, used for pleasure, extreme ap</v>
      </c>
    </row>
    <row r="8">
      <c r="A8" s="52">
        <f>IFERROR(__xludf.DUMMYFUNCTION("""COMPUTED_VALUE"""),115.0)</f>
        <v>115</v>
      </c>
      <c r="B8" s="51">
        <f>IFERROR(__xludf.DUMMYFUNCTION("""COMPUTED_VALUE"""),44825.0)</f>
        <v>44825</v>
      </c>
      <c r="C8" s="27" t="str">
        <f>IFERROR(__xludf.DUMMYFUNCTION("""COMPUTED_VALUE"""),"Silent Call: Baby Accomplice w/SFX")</f>
        <v>Silent Call: Baby Accomplice w/SFX</v>
      </c>
      <c r="D8" s="27" t="str">
        <f>IFERROR(__xludf.DUMMYFUNCTION("""COMPUTED_VALUE"""),"I bring you something little. I use her first while I instruct you to jerk off until it's your turn to empty into her mouth. ")</f>
        <v>I bring you something little. I use her first while I instruct you to jerk off until it's your turn to empty into her mouth. </v>
      </c>
      <c r="E8" s="27" t="str">
        <f>IFERROR(__xludf.DUMMYFUNCTION("""COMPUTED_VALUE"""),"girl on girl, cunninlingus, fingering, finish in her mouth, accomplice, extreme ap")</f>
        <v>girl on girl, cunninlingus, fingering, finish in her mouth, accomplice, extreme ap</v>
      </c>
    </row>
    <row r="9">
      <c r="A9" s="52">
        <f>IFERROR(__xludf.DUMMYFUNCTION("""COMPUTED_VALUE"""),116.0)</f>
        <v>116</v>
      </c>
      <c r="B9" s="51">
        <f>IFERROR(__xludf.DUMMYFUNCTION("""COMPUTED_VALUE"""),44828.0)</f>
        <v>44828</v>
      </c>
      <c r="C9" s="27" t="str">
        <f>IFERROR(__xludf.DUMMYFUNCTION("""COMPUTED_VALUE"""),"Custom: Baby Monster Cock")</f>
        <v>Custom: Baby Monster Cock</v>
      </c>
      <c r="D9" s="27" t="str">
        <f>IFERROR(__xludf.DUMMYFUNCTION("""COMPUTED_VALUE"""),"A little one is a medical oddity in that he has a monster 9 inch cock. I'm his doctor and I just can't help but enjoy this cock. ")</f>
        <v>A little one is a medical oddity in that he has a monster 9 inch cock. I'm his doctor and I just can't help but enjoy this cock. </v>
      </c>
      <c r="E9" s="27" t="str">
        <f>IFERROR(__xludf.DUMMYFUNCTION("""COMPUTED_VALUE"""),"doctor/patient, blow job sounds, cum drunk, creampie, anal creampie, extreme ap")</f>
        <v>doctor/patient, blow job sounds, cum drunk, creampie, anal creampie, extreme ap</v>
      </c>
    </row>
    <row r="10">
      <c r="A10" s="52">
        <f>IFERROR(__xludf.DUMMYFUNCTION("""COMPUTED_VALUE"""),127.0)</f>
        <v>127</v>
      </c>
      <c r="B10" s="51">
        <f>IFERROR(__xludf.DUMMYFUNCTION("""COMPUTED_VALUE"""),44838.0)</f>
        <v>44838</v>
      </c>
      <c r="C10" s="27" t="str">
        <f>IFERROR(__xludf.DUMMYFUNCTION("""COMPUTED_VALUE"""),"Crying Trigger")</f>
        <v>Crying Trigger</v>
      </c>
      <c r="D10" s="27" t="str">
        <f>IFERROR(__xludf.DUMMYFUNCTION("""COMPUTED_VALUE"""),"For the true sick fucks that enjoy being mind fucked. ")</f>
        <v>For the true sick fucks that enjoy being mind fucked. </v>
      </c>
      <c r="E10" s="27" t="str">
        <f>IFERROR(__xludf.DUMMYFUNCTION("""COMPUTED_VALUE"""),"extreme ap")</f>
        <v>extreme ap</v>
      </c>
    </row>
    <row r="11">
      <c r="A11" s="52">
        <f>IFERROR(__xludf.DUMMYFUNCTION("""COMPUTED_VALUE"""),133.0)</f>
        <v>133</v>
      </c>
      <c r="B11" s="51">
        <f>IFERROR(__xludf.DUMMYFUNCTION("""COMPUTED_VALUE"""),44843.0)</f>
        <v>44843</v>
      </c>
      <c r="C11" s="27" t="str">
        <f>IFERROR(__xludf.DUMMYFUNCTION("""COMPUTED_VALUE"""),"Silent Call: Extreme AP JOI")</f>
        <v>Silent Call: Extreme AP JOI</v>
      </c>
      <c r="D11" s="27" t="str">
        <f>IFERROR(__xludf.DUMMYFUNCTION("""COMPUTED_VALUE"""),"Trigger heavy rambling about tiny holes")</f>
        <v>Trigger heavy rambling about tiny holes</v>
      </c>
      <c r="E11" s="27" t="str">
        <f>IFERROR(__xludf.DUMMYFUNCTION("""COMPUTED_VALUE"""),"JOI style but I'm too busy pressing triggers buttons, all the holes, dick head suckling, extreme ap")</f>
        <v>JOI style but I'm too busy pressing triggers buttons, all the holes, dick head suckling, extreme ap</v>
      </c>
    </row>
    <row r="12">
      <c r="A12" s="52">
        <f>IFERROR(__xludf.DUMMYFUNCTION("""COMPUTED_VALUE"""),145.0)</f>
        <v>145</v>
      </c>
      <c r="B12" s="51">
        <f>IFERROR(__xludf.DUMMYFUNCTION("""COMPUTED_VALUE"""),44859.0)</f>
        <v>44859</v>
      </c>
      <c r="C12" s="27" t="str">
        <f>IFERROR(__xludf.DUMMYFUNCTION("""COMPUTED_VALUE"""),"Script Fill: Mommy's Baby Girl")</f>
        <v>Script Fill: Mommy's Baby Girl</v>
      </c>
      <c r="D12" s="27" t="str">
        <f>IFERROR(__xludf.DUMMYFUNCTION("""COMPUTED_VALUE"""),"A new mom gets so turned on by her baby girl nursing, she starts masturbating during breastfeeding. Then she starts craving more from her baby girl. ")</f>
        <v>A new mom gets so turned on by her baby girl nursing, she starts masturbating during breastfeeding. Then she starts craving more from her baby girl. </v>
      </c>
      <c r="E12" s="27" t="str">
        <f>IFERROR(__xludf.DUMMYFUNCTION("""COMPUTED_VALUE"""),"mommy/daughter, breastfeeding, female masturbation, incest, little pussy rubbing, pinky finger fingering, oral , extreme ap")</f>
        <v>mommy/daughter, breastfeeding, female masturbation, incest, little pussy rubbing, pinky finger fingering, oral , extreme ap</v>
      </c>
    </row>
    <row r="13">
      <c r="A13" s="52">
        <f>IFERROR(__xludf.DUMMYFUNCTION("""COMPUTED_VALUE"""),147.0)</f>
        <v>147</v>
      </c>
      <c r="B13" s="51">
        <f>IFERROR(__xludf.DUMMYFUNCTION("""COMPUTED_VALUE"""),44860.0)</f>
        <v>44860</v>
      </c>
      <c r="C13" s="27" t="str">
        <f>IFERROR(__xludf.DUMMYFUNCTION("""COMPUTED_VALUE"""),"Baby Trigger Happy")</f>
        <v>Baby Trigger Happy</v>
      </c>
      <c r="D13" s="27" t="str">
        <f>IFERROR(__xludf.DUMMYFUNCTION("""COMPUTED_VALUE"""),"This was a quick and dirty off the cuff audio a member requested. Trigger filled and extremely perverted. ")</f>
        <v>This was a quick and dirty off the cuff audio a member requested. Trigger filled and extremely perverted. </v>
      </c>
      <c r="E13" s="27" t="str">
        <f>IFERROR(__xludf.DUMMYFUNCTION("""COMPUTED_VALUE"""),"quick and dirty, pregnant woman fuck, accomplice, extreme ap")</f>
        <v>quick and dirty, pregnant woman fuck, accomplice, extreme ap</v>
      </c>
    </row>
    <row r="14">
      <c r="A14" s="52">
        <f>IFERROR(__xludf.DUMMYFUNCTION("""COMPUTED_VALUE"""),190.0)</f>
        <v>190</v>
      </c>
      <c r="B14" s="51">
        <f>IFERROR(__xludf.DUMMYFUNCTION("""COMPUTED_VALUE"""),44911.0)</f>
        <v>44911</v>
      </c>
      <c r="C14" s="27" t="str">
        <f>IFERROR(__xludf.DUMMYFUNCTION("""COMPUTED_VALUE"""),"Custom: Daddy's 3 Day Old Gift")</f>
        <v>Custom: Daddy's 3 Day Old Gift</v>
      </c>
      <c r="D14" s="27" t="str">
        <f>IFERROR(__xludf.DUMMYFUNCTION("""COMPUTED_VALUE"""),"Me and you are new parents, just got home from the hospital and we enjoy our little gift finally.")</f>
        <v>Me and you are new parents, just got home from the hospital and we enjoy our little gift finally.</v>
      </c>
      <c r="E14" s="27" t="str">
        <f>IFERROR(__xludf.DUMMYFUNCTION("""COMPUTED_VALUE"""),"extreme ap, accomplice wife, pervy wife experience, all three holes, sucking sfx, anal creampie, mommy sucks it out, incest, inbreed mention")</f>
        <v>extreme ap, accomplice wife, pervy wife experience, all three holes, sucking sfx, anal creampie, mommy sucks it out, incest, inbreed mention</v>
      </c>
    </row>
    <row r="15">
      <c r="A15" s="52">
        <f>IFERROR(__xludf.DUMMYFUNCTION("""COMPUTED_VALUE"""),191.0)</f>
        <v>191</v>
      </c>
      <c r="B15" s="51">
        <f>IFERROR(__xludf.DUMMYFUNCTION("""COMPUTED_VALUE"""),44916.0)</f>
        <v>44916</v>
      </c>
      <c r="C15" s="27" t="str">
        <f>IFERROR(__xludf.DUMMYFUNCTION("""COMPUTED_VALUE"""),"Custom: Mommy &amp; Daddy's Toy")</f>
        <v>Custom: Mommy &amp; Daddy's Toy</v>
      </c>
      <c r="D15" s="27" t="str">
        <f>IFERROR(__xludf.DUMMYFUNCTION("""COMPUTED_VALUE"""),"You and I are parents to a tiny one. I corrupt you into using him as our little toy and it gets dark.")</f>
        <v>You and I are parents to a tiny one. I corrupt you into using him as our little toy and it gets dark.</v>
      </c>
      <c r="E15" s="27" t="str">
        <f>IFERROR(__xludf.DUMMYFUNCTION("""COMPUTED_VALUE"""),"corruption, accomplice, shota, yaoi, oral, anal, rimming, choking, extreme ap")</f>
        <v>corruption, accomplice, shota, yaoi, oral, anal, rimming, choking, extreme ap</v>
      </c>
    </row>
    <row r="16">
      <c r="A16" s="52">
        <f>IFERROR(__xludf.DUMMYFUNCTION("""COMPUTED_VALUE"""),216.0)</f>
        <v>216</v>
      </c>
      <c r="B16" s="51">
        <f>IFERROR(__xludf.DUMMYFUNCTION("""COMPUTED_VALUE"""),44944.0)</f>
        <v>44944</v>
      </c>
      <c r="C16" s="27" t="str">
        <f>IFERROR(__xludf.DUMMYFUNCTION("""COMPUTED_VALUE"""),"Custom: Succubus Turns You")</f>
        <v>Custom: Succubus Turns You</v>
      </c>
      <c r="D16" s="27" t="str">
        <f>IFERROR(__xludf.DUMMYFUNCTION("""COMPUTED_VALUE"""),"I'm a special kind of succubus demon. One that feeds off extreme perversions. I find you (the listener) and think you'd make an excellent imp/sissy bitch to me, but first, I have to test you with an initiation. ")</f>
        <v>I'm a special kind of succubus demon. One that feeds off extreme perversions. I find you (the listener) and think you'd make an excellent imp/sissy bitch to me, but first, I have to test you with an initiation. </v>
      </c>
      <c r="E16" s="27" t="str">
        <f>IFERROR(__xludf.DUMMYFUNCTION("""COMPUTED_VALUE"""),"blasphemy, satanic, succubus &amp; imp relationship, sissy, encouraged bi, church, extreme ap, snuff, oral, anal, spit roasted, anal creampie, cum eating")</f>
        <v>blasphemy, satanic, succubus &amp; imp relationship, sissy, encouraged bi, church, extreme ap, snuff, oral, anal, spit roasted, anal creampie, cum eating</v>
      </c>
    </row>
    <row r="17">
      <c r="A17" s="52">
        <f>IFERROR(__xludf.DUMMYFUNCTION("""COMPUTED_VALUE"""),218.0)</f>
        <v>218</v>
      </c>
      <c r="B17" s="51">
        <f>IFERROR(__xludf.DUMMYFUNCTION("""COMPUTED_VALUE"""),44945.0)</f>
        <v>44945</v>
      </c>
      <c r="C17" s="27" t="str">
        <f>IFERROR(__xludf.DUMMYFUNCTION("""COMPUTED_VALUE"""),"Silent Call: Babysitting Girlfriend Shows Off For You")</f>
        <v>Silent Call: Babysitting Girlfriend Shows Off For You</v>
      </c>
      <c r="D17" s="27" t="str">
        <f>IFERROR(__xludf.DUMMYFUNCTION("""COMPUTED_VALUE"""),"You're my boyfriend and you keep me company tonight while I babysit, but I have something to show you. I've been a naughty girl. ")</f>
        <v>You're my boyfriend and you keep me company tonight while I babysit, but I have something to show you. I've been a naughty girl. </v>
      </c>
      <c r="E17" s="27" t="str">
        <f>IFERROR(__xludf.DUMMYFUNCTION("""COMPUTED_VALUE"""),"girl on girl, you watch, kissing, oral, female masturbation, scissoring, squirt, female moaning, extreme ap")</f>
        <v>girl on girl, you watch, kissing, oral, female masturbation, scissoring, squirt, female moaning, extreme ap</v>
      </c>
    </row>
    <row r="18">
      <c r="A18" s="52">
        <f>IFERROR(__xludf.DUMMYFUNCTION("""COMPUTED_VALUE"""),334.0)</f>
        <v>334</v>
      </c>
      <c r="B18" s="51">
        <f>IFERROR(__xludf.DUMMYFUNCTION("""COMPUTED_VALUE"""),45104.0)</f>
        <v>45104</v>
      </c>
      <c r="C18" s="27" t="str">
        <f>IFERROR(__xludf.DUMMYFUNCTION("""COMPUTED_VALUE"""),"Custom: Welcome Home, Son")</f>
        <v>Custom: Welcome Home, Son</v>
      </c>
      <c r="D18" s="27" t="str">
        <f>IFERROR(__xludf.DUMMYFUNCTION("""COMPUTED_VALUE"""),"A new mother settles down with her family, setting the course of her son’s life. ")</f>
        <v>A new mother settles down with her family, setting the course of her son’s life. </v>
      </c>
      <c r="E18" s="27" t="str">
        <f>IFERROR(__xludf.DUMMYFUNCTION("""COMPUTED_VALUE"""),"incest, extreme ap, MDlb, DDlg, sibling incest, oral, anal")</f>
        <v>incest, extreme ap, MDlb, DDlg, sibling incest, oral, anal</v>
      </c>
    </row>
    <row r="19">
      <c r="A19" s="52">
        <f>IFERROR(__xludf.DUMMYFUNCTION("""COMPUTED_VALUE"""),440.0)</f>
        <v>440</v>
      </c>
      <c r="B19" s="51">
        <f>IFERROR(__xludf.DUMMYFUNCTION("""COMPUTED_VALUE"""),45226.0)</f>
        <v>45226</v>
      </c>
      <c r="C19" s="27" t="str">
        <f>IFERROR(__xludf.DUMMYFUNCTION("""COMPUTED_VALUE"""),"Custom: Underground Mommy Club (Extreme AF)")</f>
        <v>Custom: Underground Mommy Club (Extreme AF)</v>
      </c>
      <c r="D19" s="27" t="str">
        <f>IFERROR(__xludf.DUMMYFUNCTION("""COMPUTED_VALUE"""),"A well known pornstar explains how she got into her extreme kink and what she’s up to nowadays. ")</f>
        <v>A well known pornstar explains how she got into her extreme kink and what she’s up to nowadays. </v>
      </c>
      <c r="E19" s="27" t="str">
        <f>IFERROR(__xludf.DUMMYFUNCTION("""COMPUTED_VALUE"""),"extreme ap (super low number), $nuff, necr0, incest")</f>
        <v>extreme ap (super low number), $nuff, necr0, incest</v>
      </c>
    </row>
    <row r="20">
      <c r="A20" s="52">
        <f>IFERROR(__xludf.DUMMYFUNCTION("""COMPUTED_VALUE"""),446.0)</f>
        <v>446</v>
      </c>
      <c r="B20" s="51">
        <f>IFERROR(__xludf.DUMMYFUNCTION("""COMPUTED_VALUE"""),45232.0)</f>
        <v>45232</v>
      </c>
      <c r="C20" s="27" t="str">
        <f>IFERROR(__xludf.DUMMYFUNCTION("""COMPUTED_VALUE"""),"Custom: Underground Mommy Club Part 2")</f>
        <v>Custom: Underground Mommy Club Part 2</v>
      </c>
      <c r="D20" s="27" t="str">
        <f>IFERROR(__xludf.DUMMYFUNCTION("""COMPUTED_VALUE"""),"She’s back but this time, you get to listen in on a live filming involving her pregnant sister. ")</f>
        <v>She’s back but this time, you get to listen in on a live filming involving her pregnant sister. </v>
      </c>
      <c r="E20" s="27" t="str">
        <f>IFERROR(__xludf.DUMMYFUNCTION("""COMPUTED_VALUE"""),"Extreme, incest, $nuff, necr0, crying sfx, female moaning, face sitting, noncon, extreme ap number")</f>
        <v>Extreme, incest, $nuff, necr0, crying sfx, female moaning, face sitting, noncon, extreme ap number</v>
      </c>
    </row>
    <row r="21">
      <c r="A21" s="52">
        <f>IFERROR(__xludf.DUMMYFUNCTION("""COMPUTED_VALUE"""),458.0)</f>
        <v>458</v>
      </c>
      <c r="B21" s="51">
        <f>IFERROR(__xludf.DUMMYFUNCTION("""COMPUTED_VALUE"""),45247.0)</f>
        <v>45247</v>
      </c>
      <c r="C21" s="27" t="str">
        <f>IFERROR(__xludf.DUMMYFUNCTION("""COMPUTED_VALUE"""),"Custom: Underground Nurse Club ")</f>
        <v>Custom: Underground Nurse Club </v>
      </c>
      <c r="D21" s="27" t="str">
        <f>IFERROR(__xludf.DUMMYFUNCTION("""COMPUTED_VALUE"""),"(This audio request was inspired by audio #116) A nurse creates a secret club of other nurses in the hospital that are taking advantage of a medical anomaly that is creating oversized cocks. ")</f>
        <v>(This audio request was inspired by audio #116) A nurse creates a secret club of other nurses in the hospital that are taking advantage of a medical anomaly that is creating oversized cocks. </v>
      </c>
      <c r="E21" s="27" t="str">
        <f>IFERROR(__xludf.DUMMYFUNCTION("""COMPUTED_VALUE"""),"oversized cock, older woman/boy, extreme ap, oral sfx, bro/sis, female pervs")</f>
        <v>oversized cock, older woman/boy, extreme ap, oral sfx, bro/sis, female pervs</v>
      </c>
    </row>
    <row r="22">
      <c r="A22" s="52">
        <f>IFERROR(__xludf.DUMMYFUNCTION("""COMPUTED_VALUE"""),461.0)</f>
        <v>461</v>
      </c>
      <c r="B22" s="51">
        <f>IFERROR(__xludf.DUMMYFUNCTION("""COMPUTED_VALUE"""),45250.0)</f>
        <v>45250</v>
      </c>
      <c r="C22" s="27" t="str">
        <f>IFERROR(__xludf.DUMMYFUNCTION("""COMPUTED_VALUE"""),"Custom: Loving Mother Gets Interrupted")</f>
        <v>Custom: Loving Mother Gets Interrupted</v>
      </c>
      <c r="D22" s="27" t="str">
        <f>IFERROR(__xludf.DUMMYFUNCTION("""COMPUTED_VALUE"""),"The listener is my son and we are lovers. My daughter is sleeping in the bed whenever he wakes me up for sex. We decide to continue with her sleeping, but she wakes up, acts super annoying and I put her in her place  ")</f>
        <v>The listener is my son and we are lovers. My daughter is sleeping in the bed whenever he wakes me up for sex. We decide to continue with her sleeping, but she wakes up, acts super annoying and I put her in her place  </v>
      </c>
      <c r="E22" s="27" t="str">
        <f>IFERROR(__xludf.DUMMYFUNCTION("""COMPUTED_VALUE"""),"Extreme, incest, $nuff, necr0, crying sfx, female moaning, face sitting, noncon, extreme ap number")</f>
        <v>Extreme, incest, $nuff, necr0, crying sfx, female moaning, face sitting, noncon, extreme ap number</v>
      </c>
    </row>
    <row r="23">
      <c r="A23" s="52">
        <f>IFERROR(__xludf.DUMMYFUNCTION("""COMPUTED_VALUE"""),475.0)</f>
        <v>475</v>
      </c>
      <c r="B23" s="51">
        <f>IFERROR(__xludf.DUMMYFUNCTION("""COMPUTED_VALUE"""),45633.0)</f>
        <v>45633</v>
      </c>
      <c r="C23" s="27" t="str">
        <f>IFERROR(__xludf.DUMMYFUNCTION("""COMPUTED_VALUE""")," Improv: A Mother’s Deep Love")</f>
        <v> Improv: A Mother’s Deep Love</v>
      </c>
      <c r="D23" s="27" t="str">
        <f>IFERROR(__xludf.DUMMYFUNCTION("""COMPUTED_VALUE"""),"A new mother is completely and totally obsessed with her new daughter to extreme levels.")</f>
        <v>A new mother is completely and totally obsessed with her new daughter to extreme levels.</v>
      </c>
      <c r="E23" s="27" t="str">
        <f>IFERROR(__xludf.DUMMYFUNCTION("""COMPUTED_VALUE"""),"pregnancy, extreme ap, snuff, necro, lactation, female perv")</f>
        <v>pregnancy, extreme ap, snuff, necro, lactation, female perv</v>
      </c>
    </row>
    <row r="24">
      <c r="A24" s="52">
        <f>IFERROR(__xludf.DUMMYFUNCTION("""COMPUTED_VALUE"""),561.0)</f>
        <v>561</v>
      </c>
      <c r="B24" s="51">
        <f>IFERROR(__xludf.DUMMYFUNCTION("""COMPUTED_VALUE"""),45371.0)</f>
        <v>45371</v>
      </c>
      <c r="C24" s="27" t="str">
        <f>IFERROR(__xludf.DUMMYFUNCTION("""COMPUTED_VALUE"""),"Improv: Fresh New Fuck Meat")</f>
        <v>Improv: Fresh New Fuck Meat</v>
      </c>
      <c r="D24" s="27" t="str">
        <f>IFERROR(__xludf.DUMMYFUNCTION("""COMPUTED_VALUE"""),"Simple encouragement to fuck brand new fuck meat.")</f>
        <v>Simple encouragement to fuck brand new fuck meat.</v>
      </c>
      <c r="E24" s="27" t="str">
        <f>IFERROR(__xludf.DUMMYFUNCTION("""COMPUTED_VALUE"""),"extreme ap, snuff, pervert encouragement")</f>
        <v>extreme ap, snuff, pervert encouragement</v>
      </c>
    </row>
    <row r="25">
      <c r="A25" s="52">
        <f>IFERROR(__xludf.DUMMYFUNCTION("""COMPUTED_VALUE"""),604.0)</f>
        <v>604</v>
      </c>
      <c r="B25" s="51">
        <f>IFERROR(__xludf.DUMMYFUNCTION("""COMPUTED_VALUE"""),45422.0)</f>
        <v>45422</v>
      </c>
      <c r="C25" s="27" t="str">
        <f>IFERROR(__xludf.DUMMYFUNCTION("""COMPUTED_VALUE"""),"Goddess Gay Corruption")</f>
        <v>Goddess Gay Corruption</v>
      </c>
      <c r="D25" s="27" t="str">
        <f>IFERROR(__xludf.DUMMYFUNCTION("""COMPUTED_VALUE"""),"Dark corruption file where I make a permanent mark on my perv gooner. ")</f>
        <v>Dark corruption file where I make a permanent mark on my perv gooner. </v>
      </c>
      <c r="E25" s="27" t="str">
        <f>IFERROR(__xludf.DUMMYFUNCTION("""COMPUTED_VALUE"""),"corruption, pervert encouragement, encouraged bi, noncon, extreme ap")</f>
        <v>corruption, pervert encouragement, encouraged bi, noncon, extreme ap</v>
      </c>
    </row>
    <row r="26">
      <c r="A26" s="52">
        <f>IFERROR(__xludf.DUMMYFUNCTION("""COMPUTED_VALUE"""),618.0)</f>
        <v>618</v>
      </c>
      <c r="B26" s="51">
        <f>IFERROR(__xludf.DUMMYFUNCTION("""COMPUTED_VALUE"""),45449.0)</f>
        <v>45449</v>
      </c>
      <c r="C26" s="27" t="str">
        <f>IFERROR(__xludf.DUMMYFUNCTION("""COMPUTED_VALUE"""),"Perv Mom Makes It Real")</f>
        <v>Perv Mom Makes It Real</v>
      </c>
      <c r="D26" s="27" t="str">
        <f>IFERROR(__xludf.DUMMYFUNCTION("""COMPUTED_VALUE"""),"A teacher becomes obsessed with fantasies and brings those fantasies home. ")</f>
        <v>A teacher becomes obsessed with fantasies and brings those fantasies home. </v>
      </c>
      <c r="E26" s="27" t="str">
        <f>IFERROR(__xludf.DUMMYFUNCTION("""COMPUTED_VALUE"""),"female perv, MDlb, extreme ap, rimming, breeding, double penetration")</f>
        <v>female perv, MDlb, extreme ap, rimming, breeding, double penetration</v>
      </c>
    </row>
    <row r="27">
      <c r="A27" s="52">
        <f>IFERROR(__xludf.DUMMYFUNCTION("""COMPUTED_VALUE"""),678.0)</f>
        <v>678</v>
      </c>
      <c r="B27" s="51">
        <f>IFERROR(__xludf.DUMMYFUNCTION("""COMPUTED_VALUE"""),45559.0)</f>
        <v>45559</v>
      </c>
      <c r="C27" s="27" t="str">
        <f>IFERROR(__xludf.DUMMYFUNCTION("""COMPUTED_VALUE"""),"Pervert Encouraging Wife Hypno")</f>
        <v>Pervert Encouraging Wife Hypno</v>
      </c>
      <c r="D27" s="27" t="str">
        <f>IFERROR(__xludf.DUMMYFUNCTION("""COMPUTED_VALUE"""),"Filthy, enabling wife hypnotically encourages utter depravity. ")</f>
        <v>Filthy, enabling wife hypnotically encourages utter depravity. </v>
      </c>
      <c r="E27" s="27" t="str">
        <f>IFERROR(__xludf.DUMMYFUNCTION("""COMPUTED_VALUE"""),"hypno, sfx, binaural, pervert encouragement, perv gooning, aheago face sounds, pervy wife experience, extreme ap")</f>
        <v>hypno, sfx, binaural, pervert encouragement, perv gooning, aheago face sounds, pervy wife experience, extreme ap</v>
      </c>
    </row>
    <row r="28">
      <c r="A28" s="52"/>
      <c r="B28" s="52"/>
      <c r="C28" s="27"/>
      <c r="D28" s="27"/>
      <c r="E28" s="27"/>
    </row>
    <row r="29">
      <c r="A29" s="52"/>
      <c r="B29" s="52"/>
      <c r="C29" s="27"/>
      <c r="D29" s="27"/>
      <c r="E29" s="27"/>
    </row>
    <row r="30">
      <c r="A30" s="52"/>
      <c r="B30" s="52"/>
      <c r="C30" s="27"/>
      <c r="D30" s="27"/>
      <c r="E30" s="27"/>
    </row>
    <row r="31">
      <c r="A31" s="52"/>
      <c r="B31" s="52"/>
      <c r="C31" s="27"/>
      <c r="D31" s="27"/>
      <c r="E31" s="27"/>
    </row>
    <row r="32">
      <c r="A32" s="52"/>
      <c r="B32" s="52"/>
      <c r="C32" s="27"/>
      <c r="D32" s="27"/>
      <c r="E32" s="27"/>
    </row>
    <row r="33">
      <c r="A33" s="52"/>
      <c r="B33" s="52"/>
      <c r="C33" s="27"/>
      <c r="D33" s="27"/>
      <c r="E33" s="27"/>
    </row>
    <row r="34">
      <c r="A34" s="52"/>
      <c r="B34" s="52"/>
      <c r="C34" s="27"/>
      <c r="D34" s="27"/>
      <c r="E34" s="27"/>
    </row>
    <row r="35">
      <c r="A35" s="52"/>
      <c r="B35" s="52"/>
      <c r="C35" s="27"/>
      <c r="D35" s="27"/>
      <c r="E35" s="27"/>
    </row>
    <row r="36">
      <c r="A36" s="52"/>
      <c r="B36" s="52"/>
      <c r="C36" s="27"/>
      <c r="D36" s="27"/>
      <c r="E36" s="27"/>
    </row>
    <row r="37">
      <c r="A37" s="52"/>
      <c r="B37" s="52"/>
      <c r="C37" s="27"/>
      <c r="D37" s="27"/>
      <c r="E37" s="27"/>
    </row>
    <row r="38">
      <c r="A38" s="52"/>
      <c r="B38" s="52"/>
      <c r="C38" s="27"/>
      <c r="D38" s="27"/>
      <c r="E38" s="27"/>
    </row>
    <row r="39">
      <c r="A39" s="52"/>
      <c r="B39" s="52"/>
      <c r="C39" s="27"/>
      <c r="D39" s="27"/>
      <c r="E39" s="27"/>
    </row>
    <row r="40">
      <c r="A40" s="52"/>
      <c r="B40" s="52"/>
      <c r="C40" s="27"/>
      <c r="D40" s="27"/>
      <c r="E40" s="27"/>
    </row>
    <row r="41">
      <c r="A41" s="52"/>
      <c r="B41" s="52"/>
      <c r="C41" s="27"/>
      <c r="D41" s="27"/>
      <c r="E41" s="27"/>
    </row>
    <row r="42">
      <c r="A42" s="52"/>
      <c r="B42" s="52"/>
      <c r="C42" s="27"/>
      <c r="D42" s="27"/>
      <c r="E42" s="27"/>
    </row>
    <row r="43">
      <c r="A43" s="52"/>
      <c r="B43" s="52"/>
      <c r="C43" s="27"/>
      <c r="D43" s="27"/>
      <c r="E43" s="27"/>
    </row>
    <row r="44">
      <c r="A44" s="52"/>
      <c r="B44" s="52"/>
      <c r="C44" s="27"/>
      <c r="D44" s="27"/>
      <c r="E44" s="27"/>
    </row>
    <row r="45">
      <c r="A45" s="52"/>
      <c r="B45" s="52"/>
      <c r="C45" s="27"/>
      <c r="D45" s="27"/>
      <c r="E45" s="27"/>
    </row>
    <row r="46">
      <c r="A46" s="52"/>
      <c r="B46" s="52"/>
      <c r="C46" s="27"/>
      <c r="D46" s="27"/>
      <c r="E46" s="27"/>
    </row>
    <row r="47">
      <c r="A47" s="52"/>
      <c r="B47" s="52"/>
      <c r="C47" s="27"/>
      <c r="D47" s="27"/>
      <c r="E47" s="27"/>
    </row>
    <row r="48">
      <c r="A48" s="52"/>
      <c r="B48" s="52"/>
      <c r="C48" s="27"/>
      <c r="D48" s="27"/>
      <c r="E48" s="27"/>
    </row>
    <row r="49">
      <c r="A49" s="52"/>
      <c r="B49" s="52"/>
      <c r="C49" s="27"/>
      <c r="D49" s="27"/>
      <c r="E49" s="27"/>
    </row>
    <row r="50">
      <c r="A50" s="52"/>
      <c r="B50" s="52"/>
      <c r="C50" s="27"/>
      <c r="D50" s="27"/>
      <c r="E50" s="27"/>
    </row>
    <row r="51">
      <c r="A51" s="52"/>
      <c r="B51" s="52"/>
      <c r="C51" s="27"/>
      <c r="D51" s="27"/>
      <c r="E51" s="27"/>
    </row>
    <row r="52">
      <c r="A52" s="52"/>
      <c r="B52" s="52"/>
      <c r="C52" s="27"/>
      <c r="D52" s="27"/>
      <c r="E52" s="27"/>
    </row>
    <row r="53">
      <c r="A53" s="52"/>
      <c r="B53" s="52"/>
      <c r="C53" s="27"/>
      <c r="D53" s="27"/>
      <c r="E53" s="27"/>
    </row>
    <row r="54">
      <c r="A54" s="52"/>
      <c r="B54" s="52"/>
      <c r="C54" s="27"/>
      <c r="D54" s="27"/>
      <c r="E54" s="27"/>
    </row>
    <row r="55">
      <c r="A55" s="52"/>
      <c r="B55" s="52"/>
      <c r="C55" s="27"/>
      <c r="D55" s="27"/>
      <c r="E55" s="27"/>
    </row>
    <row r="56">
      <c r="A56" s="52"/>
      <c r="B56" s="52"/>
      <c r="C56" s="27"/>
      <c r="D56" s="27"/>
      <c r="E56" s="27"/>
    </row>
    <row r="57">
      <c r="A57" s="52"/>
      <c r="B57" s="52"/>
      <c r="C57" s="27"/>
      <c r="D57" s="27"/>
      <c r="E57" s="27"/>
    </row>
    <row r="58">
      <c r="A58" s="52"/>
      <c r="B58" s="52"/>
      <c r="C58" s="27"/>
      <c r="D58" s="27"/>
      <c r="E58" s="27"/>
    </row>
    <row r="59">
      <c r="A59" s="52"/>
      <c r="B59" s="52"/>
      <c r="C59" s="27"/>
      <c r="D59" s="27"/>
      <c r="E59" s="27"/>
    </row>
    <row r="60">
      <c r="A60" s="52"/>
      <c r="B60" s="52"/>
      <c r="C60" s="27"/>
      <c r="D60" s="27"/>
      <c r="E60" s="27"/>
    </row>
    <row r="61">
      <c r="A61" s="52"/>
      <c r="B61" s="52"/>
      <c r="C61" s="27"/>
      <c r="D61" s="27"/>
      <c r="E61" s="27"/>
    </row>
    <row r="62">
      <c r="A62" s="52"/>
      <c r="B62" s="52"/>
      <c r="C62" s="27"/>
      <c r="D62" s="27"/>
      <c r="E62" s="27"/>
    </row>
    <row r="63">
      <c r="A63" s="52"/>
      <c r="B63" s="52"/>
      <c r="C63" s="27"/>
      <c r="D63" s="27"/>
      <c r="E63" s="27"/>
    </row>
    <row r="64">
      <c r="A64" s="52"/>
      <c r="B64" s="52"/>
      <c r="C64" s="27"/>
      <c r="D64" s="27"/>
      <c r="E64" s="27"/>
    </row>
    <row r="65">
      <c r="A65" s="52"/>
      <c r="B65" s="52"/>
      <c r="C65" s="27"/>
      <c r="D65" s="27"/>
      <c r="E65" s="27"/>
    </row>
    <row r="66">
      <c r="A66" s="52"/>
      <c r="B66" s="52"/>
      <c r="C66" s="27"/>
      <c r="D66" s="27"/>
      <c r="E66" s="27"/>
    </row>
    <row r="67">
      <c r="A67" s="52"/>
      <c r="B67" s="52"/>
      <c r="C67" s="27"/>
      <c r="D67" s="27"/>
      <c r="E67" s="27"/>
    </row>
    <row r="68">
      <c r="A68" s="52"/>
      <c r="B68" s="52"/>
      <c r="C68" s="27"/>
      <c r="D68" s="27"/>
      <c r="E68" s="27"/>
    </row>
    <row r="69">
      <c r="A69" s="52"/>
      <c r="B69" s="52"/>
      <c r="C69" s="27"/>
      <c r="D69" s="27"/>
      <c r="E69" s="27"/>
    </row>
    <row r="70">
      <c r="A70" s="52"/>
      <c r="B70" s="52"/>
      <c r="C70" s="27"/>
      <c r="D70" s="27"/>
      <c r="E70" s="27"/>
    </row>
    <row r="71">
      <c r="A71" s="52"/>
      <c r="B71" s="52"/>
      <c r="C71" s="27"/>
      <c r="D71" s="27"/>
      <c r="E71" s="27"/>
    </row>
    <row r="72">
      <c r="A72" s="52"/>
      <c r="B72" s="52"/>
      <c r="C72" s="27"/>
      <c r="D72" s="27"/>
      <c r="E72" s="27"/>
    </row>
    <row r="73">
      <c r="A73" s="52"/>
      <c r="B73" s="52"/>
      <c r="C73" s="27"/>
      <c r="D73" s="27"/>
      <c r="E73" s="27"/>
    </row>
    <row r="74">
      <c r="A74" s="52"/>
      <c r="B74" s="52"/>
      <c r="C74" s="27"/>
      <c r="D74" s="27"/>
      <c r="E74" s="27"/>
    </row>
    <row r="75">
      <c r="A75" s="52"/>
      <c r="B75" s="52"/>
      <c r="C75" s="27"/>
      <c r="D75" s="27"/>
      <c r="E75" s="27"/>
    </row>
    <row r="76">
      <c r="A76" s="52"/>
      <c r="B76" s="52"/>
      <c r="C76" s="27"/>
      <c r="D76" s="27"/>
      <c r="E76" s="27"/>
    </row>
    <row r="77">
      <c r="A77" s="52"/>
      <c r="B77" s="52"/>
      <c r="C77" s="27"/>
      <c r="D77" s="27"/>
      <c r="E77" s="27"/>
    </row>
    <row r="78">
      <c r="A78" s="52"/>
      <c r="B78" s="52"/>
      <c r="C78" s="27"/>
      <c r="D78" s="27"/>
      <c r="E78" s="27"/>
    </row>
    <row r="79">
      <c r="A79" s="52"/>
      <c r="B79" s="52"/>
      <c r="C79" s="27"/>
      <c r="D79" s="27"/>
      <c r="E79" s="27"/>
    </row>
    <row r="80">
      <c r="A80" s="52"/>
      <c r="B80" s="52"/>
      <c r="C80" s="27"/>
      <c r="D80" s="27"/>
      <c r="E80" s="27"/>
    </row>
    <row r="81">
      <c r="A81" s="52"/>
      <c r="B81" s="52"/>
      <c r="C81" s="27"/>
      <c r="D81" s="27"/>
      <c r="E81" s="27"/>
    </row>
    <row r="82">
      <c r="A82" s="52"/>
      <c r="B82" s="52"/>
      <c r="C82" s="27"/>
      <c r="D82" s="27"/>
      <c r="E82" s="27"/>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24.5"/>
    <col customWidth="1" min="4" max="4" width="26.0"/>
    <col customWidth="1" min="5" max="5" width="25.63"/>
  </cols>
  <sheetData>
    <row r="1">
      <c r="A1" s="62"/>
      <c r="B1" s="46" t="s">
        <v>2020</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2021</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""(?i)futa""))"),28.0)</f>
        <v>28</v>
      </c>
      <c r="B6" s="51">
        <f>IFERROR(__xludf.DUMMYFUNCTION("""COMPUTED_VALUE"""),44746.0)</f>
        <v>44746</v>
      </c>
      <c r="C6" s="27" t="str">
        <f>IFERROR(__xludf.DUMMYFUNCTION("""COMPUTED_VALUE"""),"Silent Call Futa Mommy")</f>
        <v>Silent Call Futa Mommy</v>
      </c>
      <c r="D6" s="27" t="str">
        <f>IFERROR(__xludf.DUMMYFUNCTION("""COMPUTED_VALUE"""),"Mommy has her first futa-heat since giving birth to you and uses you in an unique way.")</f>
        <v>Mommy has her first futa-heat since giving birth to you and uses you in an unique way.</v>
      </c>
      <c r="E6" s="27" t="str">
        <f>IFERROR(__xludf.DUMMYFUNCTION("""COMPUTED_VALUE"""),"futa, mommy cock, mommy cunt, brain fuck, mommy cream, you turn into mommy cream for your sister, snuff")</f>
        <v>futa, mommy cock, mommy cunt, brain fuck, mommy cream, you turn into mommy cream for your sister, snuff</v>
      </c>
    </row>
    <row r="7">
      <c r="A7" s="52">
        <f>IFERROR(__xludf.DUMMYFUNCTION("""COMPUTED_VALUE"""),44.0)</f>
        <v>44</v>
      </c>
      <c r="B7" s="51">
        <f>IFERROR(__xludf.DUMMYFUNCTION("""COMPUTED_VALUE"""),44757.0)</f>
        <v>44757</v>
      </c>
      <c r="C7" s="27" t="str">
        <f>IFERROR(__xludf.DUMMYFUNCTION("""COMPUTED_VALUE"""),"Silent Call: Futa Mommy Son &amp; BBC Threesome")</f>
        <v>Silent Call: Futa Mommy Son &amp; BBC Threesome</v>
      </c>
      <c r="D7" s="27" t="str">
        <f>IFERROR(__xludf.DUMMYFUNCTION("""COMPUTED_VALUE"""),"Your futa mommy is going through futa heat and uses you with her friend.")</f>
        <v>Your futa mommy is going through futa heat and uses you with her friend.</v>
      </c>
      <c r="E7" s="27" t="str">
        <f>IFERROR(__xludf.DUMMYFUNCTION("""COMPUTED_VALUE"""),"futa mommy, mommy cock, bbc, raceplay, anal, breeding, sissy, futa")</f>
        <v>futa mommy, mommy cock, bbc, raceplay, anal, breeding, sissy, futa</v>
      </c>
    </row>
    <row r="8">
      <c r="A8" s="52">
        <f>IFERROR(__xludf.DUMMYFUNCTION("""COMPUTED_VALUE"""),58.0)</f>
        <v>58</v>
      </c>
      <c r="B8" s="51">
        <f>IFERROR(__xludf.DUMMYFUNCTION("""COMPUTED_VALUE"""),44771.0)</f>
        <v>44771</v>
      </c>
      <c r="C8" s="27" t="str">
        <f>IFERROR(__xludf.DUMMYFUNCTION("""COMPUTED_VALUE"""),"Silent Call: Quick &amp; Dirty, Futa Mommy Gives Birth")</f>
        <v>Silent Call: Quick &amp; Dirty, Futa Mommy Gives Birth</v>
      </c>
      <c r="D8" s="27" t="str">
        <f>IFERROR(__xludf.DUMMYFUNCTION("""COMPUTED_VALUE"""),"Mommy is giving birth to triplets but decides the last one needs to used for her and your (big sister) pleasure")</f>
        <v>Mommy is giving birth to triplets but decides the last one needs to used for her and your (big sister) pleasure</v>
      </c>
      <c r="E8" s="27" t="str">
        <f>IFERROR(__xludf.DUMMYFUNCTION("""COMPUTED_VALUE"""),"futa, birth, used for pleasure, extreme ap")</f>
        <v>futa, birth, used for pleasure, extreme ap</v>
      </c>
    </row>
    <row r="9">
      <c r="A9" s="52">
        <f>IFERROR(__xludf.DUMMYFUNCTION("""COMPUTED_VALUE"""),63.0)</f>
        <v>63</v>
      </c>
      <c r="B9" s="51">
        <f>IFERROR(__xludf.DUMMYFUNCTION("""COMPUTED_VALUE"""),44773.0)</f>
        <v>44773</v>
      </c>
      <c r="C9" s="27" t="str">
        <f>IFERROR(__xludf.DUMMYFUNCTION("""COMPUTED_VALUE"""),"Script Fill: Snuffing Girl Scouts For Charity...Impregnated &amp; Snuffed by Mommy")</f>
        <v>Script Fill: Snuffing Girl Scouts For Charity...Impregnated &amp; Snuffed by Mommy</v>
      </c>
      <c r="D9" s="27" t="str">
        <f>IFERROR(__xludf.DUMMYFUNCTION("""COMPUTED_VALUE"""),"Two futa girls get fucked, impregnated, and then snuffed by their futa mommy. ")</f>
        <v>Two futa girls get fucked, impregnated, and then snuffed by their futa mommy. </v>
      </c>
      <c r="E9" s="27" t="str">
        <f>IFERROR(__xludf.DUMMYFUNCTION("""COMPUTED_VALUE"""),"Futa, breed, mommy cock, snuff")</f>
        <v>Futa, breed, mommy cock, snuff</v>
      </c>
    </row>
    <row r="10">
      <c r="A10" s="52">
        <f>IFERROR(__xludf.DUMMYFUNCTION("""COMPUTED_VALUE"""),69.0)</f>
        <v>69</v>
      </c>
      <c r="B10" s="51">
        <f>IFERROR(__xludf.DUMMYFUNCTION("""COMPUTED_VALUE"""),44777.0)</f>
        <v>44777</v>
      </c>
      <c r="C10" s="27" t="str">
        <f>IFERROR(__xludf.DUMMYFUNCTION("""COMPUTED_VALUE"""),"Silent Call: Ramble Futa GF Snuff")</f>
        <v>Silent Call: Ramble Futa GF Snuff</v>
      </c>
      <c r="D10" s="27" t="str">
        <f>IFERROR(__xludf.DUMMYFUNCTION("""COMPUTED_VALUE"""),"You're my futa girlfriend and I want you to use my daughter and then snuff her. ")</f>
        <v>You're my futa girlfriend and I want you to use my daughter and then snuff her. </v>
      </c>
      <c r="E10" s="27" t="str">
        <f>IFERROR(__xludf.DUMMYFUNCTION("""COMPUTED_VALUE"""),"Futa, knife play, fuck wounds, fuck brains, gore, snuff")</f>
        <v>Futa, knife play, fuck wounds, fuck brains, gore, snuff</v>
      </c>
    </row>
    <row r="11">
      <c r="A11" s="52">
        <f>IFERROR(__xludf.DUMMYFUNCTION("""COMPUTED_VALUE"""),77.0)</f>
        <v>77</v>
      </c>
      <c r="B11" s="51">
        <f>IFERROR(__xludf.DUMMYFUNCTION("""COMPUTED_VALUE"""),44784.0)</f>
        <v>44784</v>
      </c>
      <c r="C11" s="27" t="str">
        <f>IFERROR(__xludf.DUMMYFUNCTION("""COMPUTED_VALUE"""),"Silent Call: Futa Mommy Punishes You")</f>
        <v>Silent Call: Futa Mommy Punishes You</v>
      </c>
      <c r="D11" s="27" t="str">
        <f>IFERROR(__xludf.DUMMYFUNCTION("""COMPUTED_VALUE"""),"Mommy caught you, her babygirl, doing naughty things and teaches you a lesson")</f>
        <v>Mommy caught you, her babygirl, doing naughty things and teaches you a lesson</v>
      </c>
      <c r="E11" s="27" t="str">
        <f>IFERROR(__xludf.DUMMYFUNCTION("""COMPUTED_VALUE"""),"throat fuck, mommy cock rips you apart, gore, snuff, futa")</f>
        <v>throat fuck, mommy cock rips you apart, gore, snuff, futa</v>
      </c>
    </row>
    <row r="12">
      <c r="A12" s="52">
        <f>IFERROR(__xludf.DUMMYFUNCTION("""COMPUTED_VALUE"""),79.0)</f>
        <v>79</v>
      </c>
      <c r="B12" s="51">
        <f>IFERROR(__xludf.DUMMYFUNCTION("""COMPUTED_VALUE"""),44788.0)</f>
        <v>44788</v>
      </c>
      <c r="C12" s="27" t="str">
        <f>IFERROR(__xludf.DUMMYFUNCTION("""COMPUTED_VALUE"""),"Silent Call: Mommy's Snuff Whore")</f>
        <v>Silent Call: Mommy's Snuff Whore</v>
      </c>
      <c r="D12" s="27" t="str">
        <f>IFERROR(__xludf.DUMMYFUNCTION("""COMPUTED_VALUE""")," Whisper-y, hypno-ish quick and dirty mommy futa rape and snuff. ")</f>
        <v> Whisper-y, hypno-ish quick and dirty mommy futa rape and snuff. </v>
      </c>
      <c r="E12" s="27" t="str">
        <f>IFERROR(__xludf.DUMMYFUNCTION("""COMPUTED_VALUE"""),"futa, crush into mommy's cunt, snuff")</f>
        <v>futa, crush into mommy's cunt, snuff</v>
      </c>
    </row>
    <row r="13">
      <c r="A13" s="52">
        <f>IFERROR(__xludf.DUMMYFUNCTION("""COMPUTED_VALUE"""),118.0)</f>
        <v>118</v>
      </c>
      <c r="B13" s="51">
        <f>IFERROR(__xludf.DUMMYFUNCTION("""COMPUTED_VALUE"""),44830.0)</f>
        <v>44830</v>
      </c>
      <c r="C13" s="27" t="str">
        <f>IFERROR(__xludf.DUMMYFUNCTION("""COMPUTED_VALUE"""),"Script Fill: Futa Goodnight Blowjob")</f>
        <v>Script Fill: Futa Goodnight Blowjob</v>
      </c>
      <c r="D13" s="27" t="str">
        <f>IFERROR(__xludf.DUMMYFUNCTION("""COMPUTED_VALUE"""),"A futa mommy gets her goodnight blowjob frmo her son but has to punish him when he fails to deepthroat her. ")</f>
        <v>A futa mommy gets her goodnight blowjob frmo her son but has to punish him when he fails to deepthroat her. </v>
      </c>
      <c r="E13" s="27" t="str">
        <f>IFERROR(__xludf.DUMMYFUNCTION("""COMPUTED_VALUE"""),"mommy/son, deepthroat, loving mom punishes and turns aggressive, take mommy's milk, futa, MDlb")</f>
        <v>mommy/son, deepthroat, loving mom punishes and turns aggressive, take mommy's milk, futa, MDlb</v>
      </c>
    </row>
    <row r="14">
      <c r="A14" s="52">
        <f>IFERROR(__xludf.DUMMYFUNCTION("""COMPUTED_VALUE"""),212.0)</f>
        <v>212</v>
      </c>
      <c r="B14" s="51">
        <f>IFERROR(__xludf.DUMMYFUNCTION("""COMPUTED_VALUE"""),44943.0)</f>
        <v>44943</v>
      </c>
      <c r="C14" s="27" t="str">
        <f>IFERROR(__xludf.DUMMYFUNCTION("""COMPUTED_VALUE"""),"Script Fill: Special Mom By The Pool")</f>
        <v>Script Fill: Special Mom By The Pool</v>
      </c>
      <c r="D14" s="27" t="str">
        <f>IFERROR(__xludf.DUMMYFUNCTION("""COMPUTED_VALUE"""),"Mom shows you how special she is one day while you're out at the pool. ")</f>
        <v>Mom shows you how special she is one day while you're out at the pool. </v>
      </c>
      <c r="E14" s="27" t="str">
        <f>IFERROR(__xludf.DUMMYFUNCTION("""COMPUTED_VALUE"""),"MDlb, futa, oral, oral sfx, anal, blow job, cum swallowing, anal creampie")</f>
        <v>MDlb, futa, oral, oral sfx, anal, blow job, cum swallowing, anal creampie</v>
      </c>
    </row>
    <row r="15">
      <c r="A15" s="52">
        <f>IFERROR(__xludf.DUMMYFUNCTION("""COMPUTED_VALUE"""),275.0)</f>
        <v>275</v>
      </c>
      <c r="B15" s="51">
        <f>IFERROR(__xludf.DUMMYFUNCTION("""COMPUTED_VALUE"""),45015.0)</f>
        <v>45015</v>
      </c>
      <c r="C15" s="27" t="str">
        <f>IFERROR(__xludf.DUMMYFUNCTION("""COMPUTED_VALUE"""),"Custom: Babsitter Becomes Your Futa Mommy")</f>
        <v>Custom: Babsitter Becomes Your Futa Mommy</v>
      </c>
      <c r="D15" s="27" t="str">
        <f>IFERROR(__xludf.DUMMYFUNCTION("""COMPUTED_VALUE"""),"You get a babysitter that is very sexually aggressive and demands you call her Mommy. ")</f>
        <v>You get a babysitter that is very sexually aggressive and demands you call her Mommy. </v>
      </c>
      <c r="E15" s="27" t="str">
        <f>IFERROR(__xludf.DUMMYFUNCTION("""COMPUTED_VALUE"""),"futa, MDlb, handjob, oral sfx, spitting, face slapping, penis slapping, blow jobs, noncon, anal, cum on tits")</f>
        <v>futa, MDlb, handjob, oral sfx, spitting, face slapping, penis slapping, blow jobs, noncon, anal, cum on tits</v>
      </c>
    </row>
    <row r="16">
      <c r="A16" s="52">
        <f>IFERROR(__xludf.DUMMYFUNCTION("""COMPUTED_VALUE"""),366.0)</f>
        <v>366</v>
      </c>
      <c r="B16" s="51">
        <f>IFERROR(__xludf.DUMMYFUNCTION("""COMPUTED_VALUE"""),45136.0)</f>
        <v>45136</v>
      </c>
      <c r="C16" s="27" t="str">
        <f>IFERROR(__xludf.DUMMYFUNCTION("""COMPUTED_VALUE"""),"Helping Your Futa Babysitter")</f>
        <v>Helping Your Futa Babysitter</v>
      </c>
      <c r="D16" s="27" t="str">
        <f>IFERROR(__xludf.DUMMYFUNCTION("""COMPUTED_VALUE"""),"You have a futa babysitter babysitting you and your little sister. You get jealous of the attention your sister gets and your babysitter helps get revenge. ")</f>
        <v>You have a futa babysitter babysitting you and your little sister. You get jealous of the attention your sister gets and your babysitter helps get revenge. </v>
      </c>
      <c r="E16" s="27" t="str">
        <f>IFERROR(__xludf.DUMMYFUNCTION("""COMPUTED_VALUE"""),"futa, extreme age, face fucking, anal, snuff, watersports")</f>
        <v>futa, extreme age, face fucking, anal, snuff, watersports</v>
      </c>
    </row>
    <row r="17">
      <c r="A17" s="52">
        <f>IFERROR(__xludf.DUMMYFUNCTION("""COMPUTED_VALUE"""),428.0)</f>
        <v>428</v>
      </c>
      <c r="B17" s="51">
        <f>IFERROR(__xludf.DUMMYFUNCTION("""COMPUTED_VALUE"""),45220.0)</f>
        <v>45220</v>
      </c>
      <c r="C17" s="27" t="str">
        <f>IFERROR(__xludf.DUMMYFUNCTION("""COMPUTED_VALUE"""),"Custom: Debt Collector")</f>
        <v>Custom: Debt Collector</v>
      </c>
      <c r="D17" s="27" t="str">
        <f>IFERROR(__xludf.DUMMYFUNCTION("""COMPUTED_VALUE"""),"A widowed mother owes me money and show up at her door and take what I want as a punishment.")</f>
        <v>A widowed mother owes me money and show up at her door and take what I want as a punishment.</v>
      </c>
      <c r="E17" s="27" t="str">
        <f>IFERROR(__xludf.DUMMYFUNCTION("""COMPUTED_VALUE"""),"forced incest, violence, noncon, futa, snuff")</f>
        <v>forced incest, violence, noncon, futa, snuff</v>
      </c>
    </row>
    <row r="18">
      <c r="A18" s="52"/>
      <c r="B18" s="52"/>
      <c r="C18" s="27"/>
      <c r="D18" s="27"/>
      <c r="E18" s="27"/>
    </row>
    <row r="19">
      <c r="A19" s="52"/>
      <c r="B19" s="52"/>
      <c r="C19" s="27"/>
      <c r="D19" s="27"/>
      <c r="E19" s="27"/>
    </row>
    <row r="20">
      <c r="A20" s="52"/>
      <c r="B20" s="52"/>
      <c r="C20" s="27"/>
      <c r="D20" s="27"/>
      <c r="E20" s="27"/>
    </row>
    <row r="21">
      <c r="A21" s="52"/>
      <c r="B21" s="52"/>
      <c r="C21" s="27"/>
      <c r="D21" s="27"/>
      <c r="E21" s="27"/>
    </row>
    <row r="22">
      <c r="A22" s="52"/>
      <c r="B22" s="52"/>
      <c r="C22" s="27"/>
      <c r="D22" s="27"/>
      <c r="E22" s="27"/>
    </row>
    <row r="23">
      <c r="A23" s="52"/>
      <c r="B23" s="52"/>
      <c r="C23" s="27"/>
      <c r="D23" s="27"/>
      <c r="E23" s="27"/>
    </row>
    <row r="24">
      <c r="A24" s="52"/>
      <c r="B24" s="52"/>
      <c r="C24" s="27"/>
      <c r="D24" s="27"/>
      <c r="E24" s="27"/>
    </row>
    <row r="25">
      <c r="A25" s="52"/>
      <c r="B25" s="52"/>
      <c r="C25" s="27"/>
      <c r="D25" s="27"/>
      <c r="E25" s="27"/>
    </row>
    <row r="26">
      <c r="A26" s="52"/>
      <c r="B26" s="52"/>
      <c r="C26" s="27"/>
      <c r="D26" s="27"/>
      <c r="E26" s="27"/>
    </row>
    <row r="27">
      <c r="A27" s="52"/>
      <c r="B27" s="52"/>
      <c r="C27" s="27"/>
      <c r="D27" s="27"/>
      <c r="E27" s="27"/>
    </row>
    <row r="28">
      <c r="A28" s="52"/>
      <c r="B28" s="52"/>
      <c r="C28" s="27"/>
      <c r="D28" s="27"/>
      <c r="E28" s="27"/>
    </row>
    <row r="29">
      <c r="A29" s="52"/>
      <c r="B29" s="52"/>
      <c r="C29" s="27"/>
      <c r="D29" s="27"/>
      <c r="E29" s="27"/>
    </row>
    <row r="30">
      <c r="A30" s="52"/>
      <c r="B30" s="52"/>
      <c r="C30" s="27"/>
      <c r="D30" s="27"/>
      <c r="E30" s="27"/>
    </row>
    <row r="31">
      <c r="A31" s="52"/>
      <c r="B31" s="52"/>
      <c r="C31" s="27"/>
      <c r="D31" s="27"/>
      <c r="E31" s="27"/>
    </row>
    <row r="32">
      <c r="A32" s="52"/>
      <c r="B32" s="52"/>
      <c r="C32" s="27"/>
      <c r="D32" s="27"/>
      <c r="E32" s="27"/>
    </row>
    <row r="33">
      <c r="A33" s="52"/>
      <c r="B33" s="52"/>
      <c r="C33" s="27"/>
      <c r="D33" s="27"/>
      <c r="E33" s="27"/>
    </row>
    <row r="34">
      <c r="A34" s="52"/>
      <c r="B34" s="52"/>
      <c r="C34" s="27"/>
      <c r="D34" s="27"/>
      <c r="E34" s="27"/>
    </row>
    <row r="35">
      <c r="A35" s="52"/>
      <c r="B35" s="52"/>
      <c r="C35" s="27"/>
      <c r="D35" s="27"/>
      <c r="E35" s="27"/>
    </row>
    <row r="36">
      <c r="A36" s="52"/>
      <c r="B36" s="52"/>
      <c r="C36" s="27"/>
      <c r="D36" s="27"/>
      <c r="E36" s="27"/>
    </row>
    <row r="37">
      <c r="A37" s="52"/>
      <c r="B37" s="52"/>
      <c r="C37" s="27"/>
      <c r="D37" s="27"/>
      <c r="E37" s="27"/>
    </row>
    <row r="38">
      <c r="A38" s="52"/>
      <c r="B38" s="52"/>
      <c r="C38" s="27"/>
      <c r="D38" s="27"/>
      <c r="E38" s="27"/>
    </row>
    <row r="39">
      <c r="A39" s="52"/>
      <c r="B39" s="52"/>
      <c r="C39" s="27"/>
      <c r="D39" s="27"/>
      <c r="E39" s="27"/>
    </row>
    <row r="40">
      <c r="A40" s="52"/>
      <c r="B40" s="52"/>
      <c r="C40" s="27"/>
      <c r="D40" s="27"/>
      <c r="E40" s="27"/>
    </row>
    <row r="41">
      <c r="A41" s="52"/>
      <c r="B41" s="52"/>
      <c r="C41" s="27"/>
      <c r="D41" s="27"/>
      <c r="E41" s="27"/>
    </row>
    <row r="42">
      <c r="A42" s="52"/>
      <c r="B42" s="52"/>
      <c r="C42" s="27"/>
      <c r="D42" s="27"/>
      <c r="E42" s="27"/>
    </row>
    <row r="43">
      <c r="A43" s="52"/>
      <c r="B43" s="52"/>
      <c r="C43" s="27"/>
      <c r="D43" s="27"/>
      <c r="E43" s="27"/>
    </row>
    <row r="44">
      <c r="A44" s="52"/>
      <c r="B44" s="52"/>
      <c r="C44" s="27"/>
      <c r="D44" s="27"/>
      <c r="E44" s="27"/>
    </row>
    <row r="45">
      <c r="A45" s="52"/>
      <c r="B45" s="52"/>
      <c r="C45" s="27"/>
      <c r="D45" s="27"/>
      <c r="E45" s="27"/>
    </row>
    <row r="46">
      <c r="A46" s="52"/>
      <c r="B46" s="52"/>
      <c r="C46" s="27"/>
      <c r="D46" s="27"/>
      <c r="E46" s="27"/>
    </row>
    <row r="47">
      <c r="A47" s="52"/>
      <c r="B47" s="52"/>
      <c r="C47" s="27"/>
      <c r="D47" s="27"/>
      <c r="E47" s="27"/>
    </row>
    <row r="48">
      <c r="A48" s="52"/>
      <c r="B48" s="52"/>
      <c r="C48" s="27"/>
      <c r="D48" s="27"/>
      <c r="E48" s="27"/>
    </row>
    <row r="49">
      <c r="A49" s="52"/>
      <c r="B49" s="52"/>
      <c r="C49" s="27"/>
      <c r="D49" s="27"/>
      <c r="E49" s="27"/>
    </row>
    <row r="50">
      <c r="A50" s="52"/>
      <c r="B50" s="52"/>
      <c r="C50" s="27"/>
      <c r="D50" s="27"/>
      <c r="E50" s="27"/>
    </row>
    <row r="51">
      <c r="A51" s="52"/>
      <c r="B51" s="52"/>
      <c r="C51" s="27"/>
      <c r="D51" s="27"/>
      <c r="E51" s="27"/>
    </row>
    <row r="52">
      <c r="A52" s="52"/>
      <c r="B52" s="52"/>
      <c r="C52" s="27"/>
      <c r="D52" s="27"/>
      <c r="E52" s="27"/>
    </row>
    <row r="53">
      <c r="A53" s="52"/>
      <c r="B53" s="52"/>
      <c r="C53" s="27"/>
      <c r="D53" s="27"/>
      <c r="E53" s="27"/>
    </row>
    <row r="54">
      <c r="A54" s="52"/>
      <c r="B54" s="52"/>
      <c r="C54" s="27"/>
      <c r="D54" s="27"/>
      <c r="E54" s="27"/>
    </row>
    <row r="55">
      <c r="A55" s="52"/>
      <c r="B55" s="52"/>
      <c r="C55" s="27"/>
      <c r="D55" s="27"/>
      <c r="E55" s="27"/>
    </row>
    <row r="56">
      <c r="A56" s="52"/>
      <c r="B56" s="52"/>
      <c r="C56" s="27"/>
      <c r="D56" s="27"/>
      <c r="E56" s="27"/>
    </row>
    <row r="57">
      <c r="A57" s="52"/>
      <c r="B57" s="52"/>
      <c r="C57" s="27"/>
      <c r="D57" s="27"/>
      <c r="E57" s="27"/>
    </row>
    <row r="58">
      <c r="A58" s="52"/>
      <c r="B58" s="52"/>
      <c r="C58" s="27"/>
      <c r="D58" s="27"/>
      <c r="E58" s="27"/>
    </row>
    <row r="59">
      <c r="A59" s="52"/>
      <c r="B59" s="52"/>
      <c r="C59" s="27"/>
      <c r="D59" s="27"/>
      <c r="E59" s="27"/>
    </row>
    <row r="60">
      <c r="A60" s="52"/>
      <c r="B60" s="52"/>
      <c r="C60" s="27"/>
      <c r="D60" s="27"/>
      <c r="E60" s="27"/>
    </row>
    <row r="61">
      <c r="A61" s="52"/>
      <c r="B61" s="52"/>
      <c r="C61" s="27"/>
      <c r="D61" s="27"/>
      <c r="E61" s="27"/>
    </row>
    <row r="62">
      <c r="A62" s="52"/>
      <c r="B62" s="52"/>
      <c r="C62" s="27"/>
      <c r="D62" s="27"/>
      <c r="E62" s="27"/>
    </row>
    <row r="63">
      <c r="A63" s="52"/>
      <c r="B63" s="52"/>
      <c r="C63" s="27"/>
      <c r="D63" s="27"/>
      <c r="E63" s="27"/>
    </row>
    <row r="64">
      <c r="A64" s="52"/>
      <c r="B64" s="52"/>
      <c r="C64" s="27"/>
      <c r="D64" s="27"/>
      <c r="E64" s="27"/>
    </row>
    <row r="65">
      <c r="A65" s="52"/>
      <c r="B65" s="52"/>
      <c r="C65" s="27"/>
      <c r="D65" s="27"/>
      <c r="E65" s="27"/>
    </row>
    <row r="66">
      <c r="A66" s="52"/>
      <c r="B66" s="52"/>
      <c r="C66" s="27"/>
      <c r="D66" s="27"/>
      <c r="E66" s="27"/>
    </row>
    <row r="67">
      <c r="A67" s="52"/>
      <c r="B67" s="52"/>
      <c r="C67" s="27"/>
      <c r="D67" s="27"/>
      <c r="E67" s="27"/>
    </row>
    <row r="68">
      <c r="A68" s="52"/>
      <c r="B68" s="52"/>
      <c r="C68" s="27"/>
      <c r="D68" s="27"/>
      <c r="E68" s="27"/>
    </row>
    <row r="69">
      <c r="A69" s="52"/>
      <c r="B69" s="52"/>
      <c r="C69" s="27"/>
      <c r="D69" s="27"/>
      <c r="E69" s="27"/>
    </row>
    <row r="70">
      <c r="A70" s="52"/>
      <c r="B70" s="52"/>
      <c r="C70" s="27"/>
      <c r="D70" s="27"/>
      <c r="E70" s="27"/>
    </row>
    <row r="71">
      <c r="A71" s="52"/>
      <c r="B71" s="52"/>
      <c r="C71" s="27"/>
      <c r="D71" s="27"/>
      <c r="E71" s="27"/>
    </row>
    <row r="72">
      <c r="A72" s="52"/>
      <c r="B72" s="52"/>
      <c r="C72" s="27"/>
      <c r="D72" s="27"/>
      <c r="E72" s="27"/>
    </row>
    <row r="73">
      <c r="A73" s="52"/>
      <c r="B73" s="52"/>
      <c r="C73" s="27"/>
      <c r="D73" s="27"/>
      <c r="E73" s="27"/>
    </row>
    <row r="74">
      <c r="A74" s="52"/>
      <c r="B74" s="52"/>
      <c r="C74" s="27"/>
      <c r="D74" s="27"/>
      <c r="E74" s="27"/>
    </row>
    <row r="75">
      <c r="A75" s="52"/>
      <c r="B75" s="52"/>
      <c r="C75" s="27"/>
      <c r="D75" s="27"/>
      <c r="E75" s="27"/>
    </row>
    <row r="76">
      <c r="A76" s="52"/>
      <c r="B76" s="52"/>
      <c r="C76" s="27"/>
      <c r="D76" s="27"/>
      <c r="E76" s="27"/>
    </row>
    <row r="77">
      <c r="A77" s="52"/>
      <c r="B77" s="52"/>
      <c r="C77" s="27"/>
      <c r="D77" s="27"/>
      <c r="E77" s="27"/>
    </row>
    <row r="78">
      <c r="A78" s="52"/>
      <c r="B78" s="52"/>
      <c r="C78" s="27"/>
      <c r="D78" s="27"/>
      <c r="E78" s="27"/>
    </row>
    <row r="79">
      <c r="A79" s="52"/>
      <c r="B79" s="52"/>
      <c r="C79" s="27"/>
      <c r="D79" s="27"/>
      <c r="E79" s="27"/>
    </row>
    <row r="80">
      <c r="A80" s="52"/>
      <c r="B80" s="52"/>
      <c r="C80" s="27"/>
      <c r="D80" s="27"/>
      <c r="E80" s="27"/>
    </row>
    <row r="81">
      <c r="A81" s="52"/>
      <c r="B81" s="52"/>
      <c r="C81" s="27"/>
      <c r="D81" s="27"/>
      <c r="E81" s="27"/>
    </row>
    <row r="82">
      <c r="A82" s="52"/>
      <c r="B82" s="52"/>
      <c r="C82" s="27"/>
      <c r="D82" s="27"/>
      <c r="E82" s="27"/>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25.5"/>
    <col customWidth="1" min="4" max="4" width="26.25"/>
    <col customWidth="1" min="5" max="5" width="26.5"/>
  </cols>
  <sheetData>
    <row r="1">
      <c r="A1" s="62"/>
      <c r="B1" s="46" t="s">
        <v>2022</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2023</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""(?i)ap feet""))"),43.0)</f>
        <v>43</v>
      </c>
      <c r="B6" s="51">
        <f>IFERROR(__xludf.DUMMYFUNCTION("""COMPUTED_VALUE"""),44756.0)</f>
        <v>44756</v>
      </c>
      <c r="C6" s="27" t="str">
        <f>IFERROR(__xludf.DUMMYFUNCTION("""COMPUTED_VALUE"""),"Custom Fill: Little Feet Worship")</f>
        <v>Custom Fill: Little Feet Worship</v>
      </c>
      <c r="D6" s="27" t="str">
        <f>IFERROR(__xludf.DUMMYFUNCTION("""COMPUTED_VALUE"""),"Accomplice gifts you a cutie to worship with your dark brown cock.")</f>
        <v>Accomplice gifts you a cutie to worship with your dark brown cock.</v>
      </c>
      <c r="E6" s="27" t="str">
        <f>IFERROR(__xludf.DUMMYFUNCTION("""COMPUTED_VALUE"""),"no penetration, foot job, foot worship, leg/calves fucking, precum trails, raceplay, ap feet")</f>
        <v>no penetration, foot job, foot worship, leg/calves fucking, precum trails, raceplay, ap feet</v>
      </c>
    </row>
    <row r="7">
      <c r="A7" s="52">
        <f>IFERROR(__xludf.DUMMYFUNCTION("""COMPUTED_VALUE"""),125.0)</f>
        <v>125</v>
      </c>
      <c r="B7" s="51">
        <f>IFERROR(__xludf.DUMMYFUNCTION("""COMPUTED_VALUE"""),44835.0)</f>
        <v>44835</v>
      </c>
      <c r="C7" s="27" t="str">
        <f>IFERROR(__xludf.DUMMYFUNCTION("""COMPUTED_VALUE"""),"Silent Call: Girlfriend Accomplice &amp; Small Feet Worship")</f>
        <v>Silent Call: Girlfriend Accomplice &amp; Small Feet Worship</v>
      </c>
      <c r="D7" s="27" t="str">
        <f>IFERROR(__xludf.DUMMYFUNCTION("""COMPUTED_VALUE"""),"Me (your gf) and you are babysitting. I recognize something in particular is making your pants bulge so I create your first small feet worship. ")</f>
        <v>Me (your gf) and you are babysitting. I recognize something in particular is making your pants bulge so I create your first small feet worship. </v>
      </c>
      <c r="E7" s="27" t="str">
        <f>IFERROR(__xludf.DUMMYFUNCTION("""COMPUTED_VALUE"""),"pink soles, feet, lollipop toes, foot job, smell and kiss her feet, then paint them with cum, ap feet")</f>
        <v>pink soles, feet, lollipop toes, foot job, smell and kiss her feet, then paint them with cum, ap feet</v>
      </c>
    </row>
    <row r="8">
      <c r="A8" s="52">
        <f>IFERROR(__xludf.DUMMYFUNCTION("""COMPUTED_VALUE"""),178.0)</f>
        <v>178</v>
      </c>
      <c r="B8" s="51">
        <f>IFERROR(__xludf.DUMMYFUNCTION("""COMPUTED_VALUE"""),44895.0)</f>
        <v>44895</v>
      </c>
      <c r="C8" s="27" t="str">
        <f>IFERROR(__xludf.DUMMYFUNCTION("""COMPUTED_VALUE"""),"Script Fill: Mistress Playtime Part 1")</f>
        <v>Script Fill: Mistress Playtime Part 1</v>
      </c>
      <c r="D8" s="27" t="str">
        <f>IFERROR(__xludf.DUMMYFUNCTION("""COMPUTED_VALUE"""),"I play a little loli femdom, Mistress Beatrix, and I make you work for your pleasure.")</f>
        <v>I play a little loli femdom, Mistress Beatrix, and I make you work for your pleasure.</v>
      </c>
      <c r="E8" s="27" t="str">
        <f>IFERROR(__xludf.DUMMYFUNCTION("""COMPUTED_VALUE"""),"Fdom, Msub, face sitting, footjob, cum eating, tease &amp; denial, mutual masturbation, ap feet")</f>
        <v>Fdom, Msub, face sitting, footjob, cum eating, tease &amp; denial, mutual masturbation, ap feet</v>
      </c>
    </row>
    <row r="9">
      <c r="A9" s="52">
        <f>IFERROR(__xludf.DUMMYFUNCTION("""COMPUTED_VALUE"""),201.0)</f>
        <v>201</v>
      </c>
      <c r="B9" s="51">
        <f>IFERROR(__xludf.DUMMYFUNCTION("""COMPUTED_VALUE"""),44929.0)</f>
        <v>44929</v>
      </c>
      <c r="C9" s="27" t="str">
        <f>IFERROR(__xludf.DUMMYFUNCTION("""COMPUTED_VALUE"""),"Custom: Boy Feet Worship")</f>
        <v>Custom: Boy Feet Worship</v>
      </c>
      <c r="D9" s="27" t="str">
        <f>IFERROR(__xludf.DUMMYFUNCTION("""COMPUTED_VALUE"""),"A sensual story about me encouraging the listener to jerk off and masturbate to little feet.")</f>
        <v>A sensual story about me encouraging the listener to jerk off and masturbate to little feet.</v>
      </c>
      <c r="E9" s="27" t="str">
        <f>IFERROR(__xludf.DUMMYFUNCTION("""COMPUTED_VALUE"""),"soft &amp; sensual, encouragement, foot fetish, soles, toes, male masturbation, sensual teasing, cumming on feet, ap feet")</f>
        <v>soft &amp; sensual, encouragement, foot fetish, soles, toes, male masturbation, sensual teasing, cumming on feet, ap feet</v>
      </c>
    </row>
    <row r="10">
      <c r="A10" s="52">
        <f>IFERROR(__xludf.DUMMYFUNCTION("""COMPUTED_VALUE"""),261.0)</f>
        <v>261</v>
      </c>
      <c r="B10" s="51">
        <f>IFERROR(__xludf.DUMMYFUNCTION("""COMPUTED_VALUE"""),44997.0)</f>
        <v>44997</v>
      </c>
      <c r="C10" s="27" t="str">
        <f>IFERROR(__xludf.DUMMYFUNCTION("""COMPUTED_VALUE"""),"Custom: Your Daughter's Toes &amp; Soles")</f>
        <v>Custom: Your Daughter's Toes &amp; Soles</v>
      </c>
      <c r="D10" s="27" t="str">
        <f>IFERROR(__xludf.DUMMYFUNCTION("""COMPUTED_VALUE"""),"Your bratty daughter teases you with her pedicured toes, ending up with a very pervy foot job. ")</f>
        <v>Your bratty daughter teases you with her pedicured toes, ending up with a very pervy foot job. </v>
      </c>
      <c r="E10" s="27" t="str">
        <f>IFERROR(__xludf.DUMMYFUNCTION("""COMPUTED_VALUE"""),"foot fetish, soles, toes, bratty, teasing, cum countdown, cum on feet, daughter cleans it up, DDlg, ap feet")</f>
        <v>foot fetish, soles, toes, bratty, teasing, cum countdown, cum on feet, daughter cleans it up, DDlg, ap feet</v>
      </c>
    </row>
    <row r="11">
      <c r="A11" s="52">
        <f>IFERROR(__xludf.DUMMYFUNCTION("""COMPUTED_VALUE"""),303.0)</f>
        <v>303</v>
      </c>
      <c r="B11" s="51">
        <f>IFERROR(__xludf.DUMMYFUNCTION("""COMPUTED_VALUE"""),45048.0)</f>
        <v>45048</v>
      </c>
      <c r="C11" s="27" t="str">
        <f>IFERROR(__xludf.DUMMYFUNCTION("""COMPUTED_VALUE"""),"Silent Call: Feet &amp; Breeding")</f>
        <v>Silent Call: Feet &amp; Breeding</v>
      </c>
      <c r="D11" s="27" t="str">
        <f>IFERROR(__xludf.DUMMYFUNCTION("""COMPUTED_VALUE"""),"Narration of the listener living out a fantasy with a cutie, worshiping her feet and then fucking to breed her. ")</f>
        <v>Narration of the listener living out a fantasy with a cutie, worshiping her feet and then fucking to breed her. </v>
      </c>
      <c r="E11" s="27" t="str">
        <f>IFERROR(__xludf.DUMMYFUNCTION("""COMPUTED_VALUE"""),"foot fetish, cum on toes, missionary, breeding heavy, ap feet")</f>
        <v>foot fetish, cum on toes, missionary, breeding heavy, ap feet</v>
      </c>
    </row>
    <row r="12">
      <c r="A12" s="52">
        <f>IFERROR(__xludf.DUMMYFUNCTION("""COMPUTED_VALUE"""),640.0)</f>
        <v>640</v>
      </c>
      <c r="B12" s="51">
        <f>IFERROR(__xludf.DUMMYFUNCTION("""COMPUTED_VALUE"""),45484.0)</f>
        <v>45484</v>
      </c>
      <c r="C12" s="27" t="str">
        <f>IFERROR(__xludf.DUMMYFUNCTION("""COMPUTED_VALUE"""),"Foot Perv Humuliation &amp; Blasphemy")</f>
        <v>Foot Perv Humuliation &amp; Blasphemy</v>
      </c>
      <c r="D12" s="27" t="str">
        <f>IFERROR(__xludf.DUMMYFUNCTION("""COMPUTED_VALUE"""),"I roleplay as a mother who berates a man for being in my all white church looking at feet. ")</f>
        <v>I roleplay as a mother who berates a man for being in my all white church looking at feet. </v>
      </c>
      <c r="E12" s="27" t="str">
        <f>IFERROR(__xludf.DUMMYFUNCTION("""COMPUTED_VALUE"""),"raceplay, blasphemy, humiliation, foot fetish, ap feet")</f>
        <v>raceplay, blasphemy, humiliation, foot fetish, ap feet</v>
      </c>
    </row>
    <row r="13">
      <c r="A13" s="52"/>
      <c r="B13" s="52"/>
      <c r="C13" s="27"/>
      <c r="D13" s="27"/>
      <c r="E13" s="27"/>
    </row>
    <row r="14">
      <c r="A14" s="52"/>
      <c r="B14" s="52"/>
      <c r="C14" s="27"/>
      <c r="D14" s="27"/>
      <c r="E14" s="27"/>
    </row>
    <row r="15">
      <c r="A15" s="52"/>
      <c r="B15" s="52"/>
      <c r="C15" s="27"/>
      <c r="D15" s="27"/>
      <c r="E15" s="27"/>
    </row>
    <row r="16">
      <c r="A16" s="52"/>
      <c r="B16" s="52"/>
      <c r="C16" s="27"/>
      <c r="D16" s="27"/>
      <c r="E16" s="27"/>
    </row>
    <row r="17">
      <c r="A17" s="52"/>
      <c r="B17" s="52"/>
      <c r="C17" s="27"/>
      <c r="D17" s="27"/>
      <c r="E17" s="27"/>
    </row>
    <row r="18">
      <c r="A18" s="52"/>
      <c r="B18" s="52"/>
      <c r="C18" s="27"/>
      <c r="D18" s="27"/>
      <c r="E18" s="27"/>
    </row>
    <row r="19">
      <c r="A19" s="52"/>
      <c r="B19" s="52"/>
      <c r="C19" s="27"/>
      <c r="D19" s="27"/>
      <c r="E19" s="27"/>
    </row>
    <row r="20">
      <c r="A20" s="52"/>
      <c r="B20" s="52"/>
      <c r="C20" s="27"/>
      <c r="D20" s="27"/>
      <c r="E20" s="27"/>
    </row>
    <row r="21">
      <c r="A21" s="52"/>
      <c r="B21" s="52"/>
      <c r="C21" s="27"/>
      <c r="D21" s="27"/>
      <c r="E21" s="27"/>
    </row>
    <row r="22">
      <c r="A22" s="52"/>
      <c r="B22" s="52"/>
      <c r="C22" s="27"/>
      <c r="D22" s="27"/>
      <c r="E22" s="27"/>
    </row>
    <row r="23">
      <c r="A23" s="52"/>
      <c r="B23" s="52"/>
      <c r="C23" s="27"/>
      <c r="D23" s="27"/>
      <c r="E23" s="27"/>
    </row>
    <row r="24">
      <c r="A24" s="52"/>
      <c r="B24" s="52"/>
      <c r="C24" s="27"/>
      <c r="D24" s="27"/>
      <c r="E24" s="27"/>
    </row>
    <row r="25">
      <c r="A25" s="52"/>
      <c r="B25" s="52"/>
      <c r="C25" s="27"/>
      <c r="D25" s="27"/>
      <c r="E25" s="27"/>
    </row>
    <row r="26">
      <c r="A26" s="52"/>
      <c r="B26" s="52"/>
      <c r="C26" s="27"/>
      <c r="D26" s="27"/>
      <c r="E26" s="27"/>
    </row>
    <row r="27">
      <c r="A27" s="52"/>
      <c r="B27" s="52"/>
      <c r="C27" s="27"/>
      <c r="D27" s="27"/>
      <c r="E27" s="27"/>
    </row>
    <row r="28">
      <c r="A28" s="52"/>
      <c r="B28" s="52"/>
      <c r="C28" s="27"/>
      <c r="D28" s="27"/>
      <c r="E28" s="27"/>
    </row>
    <row r="29">
      <c r="A29" s="52"/>
      <c r="B29" s="52"/>
      <c r="C29" s="27"/>
      <c r="D29" s="27"/>
      <c r="E29" s="27"/>
    </row>
    <row r="30">
      <c r="A30" s="52"/>
      <c r="B30" s="52"/>
      <c r="C30" s="27"/>
      <c r="D30" s="27"/>
      <c r="E30" s="27"/>
    </row>
    <row r="31">
      <c r="A31" s="52"/>
      <c r="B31" s="52"/>
      <c r="C31" s="27"/>
      <c r="D31" s="27"/>
      <c r="E31" s="27"/>
    </row>
    <row r="32">
      <c r="A32" s="52"/>
      <c r="B32" s="52"/>
      <c r="C32" s="27"/>
      <c r="D32" s="27"/>
      <c r="E32" s="27"/>
    </row>
    <row r="33">
      <c r="A33" s="52"/>
      <c r="B33" s="52"/>
      <c r="C33" s="27"/>
      <c r="D33" s="27"/>
      <c r="E33" s="27"/>
    </row>
    <row r="34">
      <c r="A34" s="52"/>
      <c r="B34" s="52"/>
      <c r="C34" s="27"/>
      <c r="D34" s="27"/>
      <c r="E34" s="27"/>
    </row>
    <row r="35">
      <c r="A35" s="52"/>
      <c r="B35" s="52"/>
      <c r="C35" s="27"/>
      <c r="D35" s="27"/>
      <c r="E35" s="27"/>
    </row>
    <row r="36">
      <c r="A36" s="52"/>
      <c r="B36" s="52"/>
      <c r="C36" s="27"/>
      <c r="D36" s="27"/>
      <c r="E36" s="27"/>
    </row>
    <row r="37">
      <c r="A37" s="52"/>
      <c r="B37" s="52"/>
      <c r="C37" s="27"/>
      <c r="D37" s="27"/>
      <c r="E37" s="27"/>
    </row>
    <row r="38">
      <c r="A38" s="52"/>
      <c r="B38" s="52"/>
      <c r="C38" s="27"/>
      <c r="D38" s="27"/>
      <c r="E38" s="27"/>
    </row>
    <row r="39">
      <c r="A39" s="52"/>
      <c r="B39" s="52"/>
      <c r="C39" s="27"/>
      <c r="D39" s="27"/>
      <c r="E39" s="27"/>
    </row>
    <row r="40">
      <c r="A40" s="52"/>
      <c r="B40" s="52"/>
      <c r="C40" s="27"/>
      <c r="D40" s="27"/>
      <c r="E40" s="27"/>
    </row>
    <row r="41">
      <c r="A41" s="52"/>
      <c r="B41" s="52"/>
      <c r="C41" s="27"/>
      <c r="D41" s="27"/>
      <c r="E41" s="27"/>
    </row>
    <row r="42">
      <c r="A42" s="52"/>
      <c r="B42" s="52"/>
      <c r="C42" s="27"/>
      <c r="D42" s="27"/>
      <c r="E42" s="27"/>
    </row>
    <row r="43">
      <c r="A43" s="52"/>
      <c r="B43" s="52"/>
      <c r="C43" s="27"/>
      <c r="D43" s="27"/>
      <c r="E43" s="27"/>
    </row>
    <row r="44">
      <c r="A44" s="52"/>
      <c r="B44" s="52"/>
      <c r="C44" s="27"/>
      <c r="D44" s="27"/>
      <c r="E44" s="27"/>
    </row>
    <row r="45">
      <c r="A45" s="52"/>
      <c r="B45" s="52"/>
      <c r="C45" s="27"/>
      <c r="D45" s="27"/>
      <c r="E45" s="27"/>
    </row>
    <row r="46">
      <c r="A46" s="52"/>
      <c r="B46" s="52"/>
      <c r="C46" s="27"/>
      <c r="D46" s="27"/>
      <c r="E46" s="27"/>
    </row>
    <row r="47">
      <c r="A47" s="52"/>
      <c r="B47" s="52"/>
      <c r="C47" s="27"/>
      <c r="D47" s="27"/>
      <c r="E47" s="27"/>
    </row>
    <row r="48">
      <c r="A48" s="52"/>
      <c r="B48" s="52"/>
      <c r="C48" s="27"/>
      <c r="D48" s="27"/>
      <c r="E48" s="27"/>
    </row>
    <row r="49">
      <c r="A49" s="52"/>
      <c r="B49" s="52"/>
      <c r="C49" s="27"/>
      <c r="D49" s="27"/>
      <c r="E49" s="27"/>
    </row>
    <row r="50">
      <c r="A50" s="52"/>
      <c r="B50" s="52"/>
      <c r="C50" s="27"/>
      <c r="D50" s="27"/>
      <c r="E50" s="27"/>
    </row>
    <row r="51">
      <c r="A51" s="52"/>
      <c r="B51" s="52"/>
      <c r="C51" s="27"/>
      <c r="D51" s="27"/>
      <c r="E51" s="27"/>
    </row>
    <row r="52">
      <c r="A52" s="52"/>
      <c r="B52" s="52"/>
      <c r="C52" s="27"/>
      <c r="D52" s="27"/>
      <c r="E52" s="27"/>
    </row>
    <row r="53">
      <c r="A53" s="52"/>
      <c r="B53" s="52"/>
      <c r="C53" s="27"/>
      <c r="D53" s="27"/>
      <c r="E53" s="27"/>
    </row>
    <row r="54">
      <c r="A54" s="52"/>
      <c r="B54" s="52"/>
      <c r="C54" s="27"/>
      <c r="D54" s="27"/>
      <c r="E54" s="27"/>
    </row>
    <row r="55">
      <c r="A55" s="52"/>
      <c r="B55" s="52"/>
      <c r="C55" s="27"/>
      <c r="D55" s="27"/>
      <c r="E55" s="27"/>
    </row>
    <row r="56">
      <c r="A56" s="52"/>
      <c r="B56" s="52"/>
      <c r="C56" s="27"/>
      <c r="D56" s="27"/>
      <c r="E56" s="27"/>
    </row>
    <row r="57">
      <c r="A57" s="52"/>
      <c r="B57" s="52"/>
      <c r="C57" s="27"/>
      <c r="D57" s="27"/>
      <c r="E57" s="27"/>
    </row>
    <row r="58">
      <c r="A58" s="52"/>
      <c r="B58" s="52"/>
      <c r="C58" s="27"/>
      <c r="D58" s="27"/>
      <c r="E58" s="27"/>
    </row>
    <row r="59">
      <c r="A59" s="52"/>
      <c r="B59" s="52"/>
      <c r="C59" s="27"/>
      <c r="D59" s="27"/>
      <c r="E59" s="27"/>
    </row>
    <row r="60">
      <c r="A60" s="52"/>
      <c r="B60" s="52"/>
      <c r="C60" s="27"/>
      <c r="D60" s="27"/>
      <c r="E60" s="27"/>
    </row>
    <row r="61">
      <c r="A61" s="52"/>
      <c r="B61" s="52"/>
      <c r="C61" s="27"/>
      <c r="D61" s="27"/>
      <c r="E61" s="27"/>
    </row>
    <row r="62">
      <c r="A62" s="52"/>
      <c r="B62" s="52"/>
      <c r="C62" s="27"/>
      <c r="D62" s="27"/>
      <c r="E62" s="27"/>
    </row>
    <row r="63">
      <c r="A63" s="52"/>
      <c r="B63" s="52"/>
      <c r="C63" s="27"/>
      <c r="D63" s="27"/>
      <c r="E63" s="27"/>
    </row>
    <row r="64">
      <c r="A64" s="52"/>
      <c r="B64" s="52"/>
      <c r="C64" s="27"/>
      <c r="D64" s="27"/>
      <c r="E64" s="27"/>
    </row>
    <row r="65">
      <c r="A65" s="52"/>
      <c r="B65" s="52"/>
      <c r="C65" s="27"/>
      <c r="D65" s="27"/>
      <c r="E65" s="27"/>
    </row>
    <row r="66">
      <c r="A66" s="52"/>
      <c r="B66" s="52"/>
      <c r="C66" s="27"/>
      <c r="D66" s="27"/>
      <c r="E66" s="27"/>
    </row>
    <row r="67">
      <c r="A67" s="52"/>
      <c r="B67" s="52"/>
      <c r="C67" s="27"/>
      <c r="D67" s="27"/>
      <c r="E67" s="27"/>
    </row>
    <row r="68">
      <c r="A68" s="52"/>
      <c r="B68" s="52"/>
      <c r="C68" s="27"/>
      <c r="D68" s="27"/>
      <c r="E68" s="27"/>
    </row>
    <row r="69">
      <c r="A69" s="52"/>
      <c r="B69" s="52"/>
      <c r="C69" s="27"/>
      <c r="D69" s="27"/>
      <c r="E69" s="27"/>
    </row>
    <row r="70">
      <c r="A70" s="52"/>
      <c r="B70" s="52"/>
      <c r="C70" s="27"/>
      <c r="D70" s="27"/>
      <c r="E70" s="27"/>
    </row>
    <row r="71">
      <c r="A71" s="52"/>
      <c r="B71" s="52"/>
      <c r="C71" s="27"/>
      <c r="D71" s="27"/>
      <c r="E71" s="27"/>
    </row>
    <row r="72">
      <c r="A72" s="52"/>
      <c r="B72" s="52"/>
      <c r="C72" s="27"/>
      <c r="D72" s="27"/>
      <c r="E72" s="27"/>
    </row>
    <row r="73">
      <c r="A73" s="52"/>
      <c r="B73" s="52"/>
      <c r="C73" s="27"/>
      <c r="D73" s="27"/>
      <c r="E73" s="27"/>
    </row>
    <row r="74">
      <c r="A74" s="52"/>
      <c r="B74" s="52"/>
      <c r="C74" s="27"/>
      <c r="D74" s="27"/>
      <c r="E74" s="27"/>
    </row>
    <row r="75">
      <c r="A75" s="52"/>
      <c r="B75" s="52"/>
      <c r="C75" s="27"/>
      <c r="D75" s="27"/>
      <c r="E75" s="27"/>
    </row>
    <row r="76">
      <c r="A76" s="52"/>
      <c r="B76" s="52"/>
      <c r="C76" s="27"/>
      <c r="D76" s="27"/>
      <c r="E76" s="27"/>
    </row>
    <row r="77">
      <c r="A77" s="52"/>
      <c r="B77" s="52"/>
      <c r="C77" s="27"/>
      <c r="D77" s="27"/>
      <c r="E77" s="27"/>
    </row>
    <row r="78">
      <c r="A78" s="52"/>
      <c r="B78" s="52"/>
      <c r="C78" s="27"/>
      <c r="D78" s="27"/>
      <c r="E78" s="27"/>
    </row>
    <row r="79">
      <c r="A79" s="52"/>
      <c r="B79" s="52"/>
      <c r="C79" s="27"/>
      <c r="D79" s="27"/>
      <c r="E79" s="27"/>
    </row>
    <row r="80">
      <c r="A80" s="52"/>
      <c r="B80" s="52"/>
      <c r="C80" s="27"/>
      <c r="D80" s="27"/>
      <c r="E80" s="27"/>
    </row>
    <row r="81">
      <c r="A81" s="52"/>
      <c r="B81" s="52"/>
      <c r="C81" s="27"/>
      <c r="D81" s="27"/>
      <c r="E81" s="27"/>
    </row>
    <row r="82">
      <c r="A82" s="52"/>
      <c r="B82" s="52"/>
      <c r="C82" s="27"/>
      <c r="D82" s="27"/>
      <c r="E82" s="27"/>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5.0" topLeftCell="A6" activePane="bottomLeft" state="frozen"/>
      <selection activeCell="B7" sqref="B7" pane="bottomLeft"/>
    </sheetView>
  </sheetViews>
  <sheetFormatPr customHeight="1" defaultColWidth="12.63" defaultRowHeight="15.75"/>
  <cols>
    <col customWidth="1" min="3" max="3" width="28.63"/>
    <col customWidth="1" min="4" max="4" width="30.38"/>
    <col customWidth="1" min="5" max="5" width="29.13"/>
  </cols>
  <sheetData>
    <row r="1">
      <c r="A1" s="62"/>
      <c r="B1" s="46" t="s">
        <v>2024</v>
      </c>
      <c r="C1" s="27"/>
      <c r="D1" s="27"/>
      <c r="E1" s="47" t="s">
        <v>32</v>
      </c>
      <c r="F1" s="58"/>
      <c r="G1" s="58"/>
      <c r="H1" s="58"/>
      <c r="I1" s="58"/>
      <c r="J1" s="58"/>
      <c r="K1" s="58"/>
      <c r="L1" s="58"/>
      <c r="M1" s="58"/>
      <c r="N1" s="58"/>
      <c r="O1" s="58"/>
      <c r="P1" s="58"/>
      <c r="Q1" s="58"/>
      <c r="R1" s="58"/>
      <c r="S1" s="58"/>
      <c r="T1" s="58"/>
      <c r="U1" s="58"/>
      <c r="V1" s="58"/>
      <c r="W1" s="58"/>
      <c r="X1" s="58"/>
      <c r="Y1" s="58"/>
      <c r="Z1" s="58"/>
    </row>
    <row r="2">
      <c r="A2" s="62"/>
      <c r="C2" s="27"/>
      <c r="D2" s="27"/>
      <c r="E2" s="27"/>
      <c r="F2" s="58"/>
      <c r="G2" s="58"/>
      <c r="H2" s="58"/>
      <c r="I2" s="58"/>
      <c r="J2" s="58"/>
      <c r="K2" s="58"/>
      <c r="L2" s="58"/>
      <c r="M2" s="58"/>
      <c r="N2" s="58"/>
      <c r="O2" s="58"/>
      <c r="P2" s="58"/>
      <c r="Q2" s="58"/>
      <c r="R2" s="58"/>
      <c r="S2" s="58"/>
      <c r="T2" s="58"/>
      <c r="U2" s="58"/>
      <c r="V2" s="58"/>
      <c r="W2" s="58"/>
      <c r="X2" s="58"/>
      <c r="Y2" s="58"/>
      <c r="Z2" s="58"/>
    </row>
    <row r="3">
      <c r="A3" s="62"/>
      <c r="B3" s="12" t="s">
        <v>2017</v>
      </c>
      <c r="C3" s="27"/>
      <c r="D3" s="27"/>
      <c r="E3" s="27"/>
      <c r="F3" s="58"/>
      <c r="G3" s="58"/>
      <c r="H3" s="58"/>
      <c r="I3" s="58"/>
      <c r="J3" s="58"/>
      <c r="K3" s="58"/>
      <c r="L3" s="58"/>
      <c r="M3" s="58"/>
      <c r="N3" s="58"/>
      <c r="O3" s="58"/>
      <c r="P3" s="58"/>
      <c r="Q3" s="58"/>
      <c r="R3" s="58"/>
      <c r="S3" s="58"/>
      <c r="T3" s="58"/>
      <c r="U3" s="58"/>
      <c r="V3" s="58"/>
      <c r="W3" s="58"/>
      <c r="X3" s="58"/>
      <c r="Y3" s="58"/>
      <c r="Z3" s="58"/>
    </row>
    <row r="4">
      <c r="A4" s="62"/>
      <c r="C4" s="27"/>
      <c r="D4" s="27"/>
      <c r="E4" s="27"/>
      <c r="F4" s="58"/>
      <c r="G4" s="58"/>
      <c r="H4" s="58"/>
      <c r="I4" s="58"/>
      <c r="J4" s="58"/>
      <c r="K4" s="58"/>
      <c r="L4" s="58"/>
      <c r="M4" s="58"/>
      <c r="N4" s="58"/>
      <c r="O4" s="58"/>
      <c r="P4" s="58"/>
      <c r="Q4" s="58"/>
      <c r="R4" s="58"/>
      <c r="S4" s="58"/>
      <c r="T4" s="58"/>
      <c r="U4" s="58"/>
      <c r="V4" s="58"/>
      <c r="W4" s="58"/>
      <c r="X4" s="58"/>
      <c r="Y4" s="58"/>
      <c r="Z4" s="58"/>
    </row>
    <row r="5">
      <c r="A5" s="49" t="s">
        <v>43</v>
      </c>
      <c r="B5" s="49" t="s">
        <v>44</v>
      </c>
      <c r="C5" s="49" t="s">
        <v>45</v>
      </c>
      <c r="D5" s="49" t="s">
        <v>46</v>
      </c>
      <c r="E5" s="49" t="s">
        <v>47</v>
      </c>
    </row>
    <row r="6">
      <c r="A6" s="56">
        <f>IFERROR(__xludf.DUMMYFUNCTION("filter(Full!A1:E1002, regexmatch(Full!E1:E1002, ""(?i)hypno""))"),37.0)</f>
        <v>37</v>
      </c>
      <c r="B6" s="51">
        <f>IFERROR(__xludf.DUMMYFUNCTION("""COMPUTED_VALUE"""),44753.0)</f>
        <v>44753</v>
      </c>
      <c r="C6" s="27" t="str">
        <f>IFERROR(__xludf.DUMMYFUNCTION("""COMPUTED_VALUE"""),"Custom: PMC Patient #98")</f>
        <v>Custom: PMC Patient #98</v>
      </c>
      <c r="D6" s="27" t="str">
        <f>IFERROR(__xludf.DUMMYFUNCTION("""COMPUTED_VALUE"""),"Dr. Beatrix admits a new patient that is into males. ")</f>
        <v>Dr. Beatrix admits a new patient that is into males. </v>
      </c>
      <c r="E6" s="27" t="str">
        <f>IFERROR(__xludf.DUMMYFUNCTION("""COMPUTED_VALUE"""),"clinical setting, anal, rimming, blow job, cock milking, artificial anus, gay, fag, sissy, hypno, sph")</f>
        <v>clinical setting, anal, rimming, blow job, cock milking, artificial anus, gay, fag, sissy, hypno, sph</v>
      </c>
    </row>
    <row r="7">
      <c r="A7" s="52">
        <f>IFERROR(__xludf.DUMMYFUNCTION("""COMPUTED_VALUE"""),60.0)</f>
        <v>60</v>
      </c>
      <c r="B7" s="51">
        <f>IFERROR(__xludf.DUMMYFUNCTION("""COMPUTED_VALUE"""),44771.0)</f>
        <v>44771</v>
      </c>
      <c r="C7" s="27" t="str">
        <f>IFERROR(__xludf.DUMMYFUNCTION("""COMPUTED_VALUE"""),"Custom Fill: Pervert Daddy Hypno")</f>
        <v>Custom Fill: Pervert Daddy Hypno</v>
      </c>
      <c r="D7" s="27" t="str">
        <f>IFERROR(__xludf.DUMMYFUNCTION("""COMPUTED_VALUE"""),"Encouraging daddy to go deeper with poppers and filthy trigger words")</f>
        <v>Encouraging daddy to go deeper with poppers and filthy trigger words</v>
      </c>
      <c r="E7" s="27" t="str">
        <f>IFERROR(__xludf.DUMMYFUNCTION("""COMPUTED_VALUE"""),"hypno voice and effects, poppers, pervert enncouragement")</f>
        <v>hypno voice and effects, poppers, pervert enncouragement</v>
      </c>
    </row>
    <row r="8">
      <c r="A8" s="52">
        <f>IFERROR(__xludf.DUMMYFUNCTION("""COMPUTED_VALUE"""),74.0)</f>
        <v>74</v>
      </c>
      <c r="B8" s="51">
        <f>IFERROR(__xludf.DUMMYFUNCTION("""COMPUTED_VALUE"""),44779.0)</f>
        <v>44779</v>
      </c>
      <c r="C8" s="27" t="str">
        <f>IFERROR(__xludf.DUMMYFUNCTION("""COMPUTED_VALUE"""),"Silent Call: Extreme Perversion Hypno Vibes")</f>
        <v>Silent Call: Extreme Perversion Hypno Vibes</v>
      </c>
      <c r="D8" s="27" t="str">
        <f>IFERROR(__xludf.DUMMYFUNCTION("""COMPUTED_VALUE"""),"I'm your extreme accomplice. Hypno vibes.")</f>
        <v>I'm your extreme accomplice. Hypno vibes.</v>
      </c>
      <c r="E8" s="27" t="str">
        <f>IFERROR(__xludf.DUMMYFUNCTION("""COMPUTED_VALUE"""),"accomplice, hypno, fuck holes, hatefuck")</f>
        <v>accomplice, hypno, fuck holes, hatefuck</v>
      </c>
    </row>
    <row r="9">
      <c r="A9" s="52">
        <f>IFERROR(__xludf.DUMMYFUNCTION("""COMPUTED_VALUE"""),78.0)</f>
        <v>78</v>
      </c>
      <c r="B9" s="51">
        <f>IFERROR(__xludf.DUMMYFUNCTION("""COMPUTED_VALUE"""),44786.0)</f>
        <v>44786</v>
      </c>
      <c r="C9" s="27" t="str">
        <f>IFERROR(__xludf.DUMMYFUNCTION("""COMPUTED_VALUE"""),"Custom Fill: Pervert Hypnosis")</f>
        <v>Custom Fill: Pervert Hypnosis</v>
      </c>
      <c r="D9" s="27" t="str">
        <f>IFERROR(__xludf.DUMMYFUNCTION("""COMPUTED_VALUE"""),"Hypnosis for getting deeper and more obsessed with your fantasies where I encourage you to wank off more to your fantasies. Countdown induction and binaural sound effect. ")</f>
        <v>Hypnosis for getting deeper and more obsessed with your fantasies where I encourage you to wank off more to your fantasies. Countdown induction and binaural sound effect. </v>
      </c>
      <c r="E9" s="27" t="str">
        <f>IFERROR(__xludf.DUMMYFUNCTION("""COMPUTED_VALUE"""),"hypno, gentle femdom, binaural brain massage, mind control, trance, go deeper")</f>
        <v>hypno, gentle femdom, binaural brain massage, mind control, trance, go deeper</v>
      </c>
    </row>
    <row r="10">
      <c r="A10" s="52">
        <f>IFERROR(__xludf.DUMMYFUNCTION("""COMPUTED_VALUE"""),88.0)</f>
        <v>88</v>
      </c>
      <c r="B10" s="51">
        <f>IFERROR(__xludf.DUMMYFUNCTION("""COMPUTED_VALUE"""),44792.0)</f>
        <v>44792</v>
      </c>
      <c r="C10" s="27" t="str">
        <f>IFERROR(__xludf.DUMMYFUNCTION("""COMPUTED_VALUE"""),"Silent Call: Live Metronome Hypno")</f>
        <v>Silent Call: Live Metronome Hypno</v>
      </c>
      <c r="D10" s="27" t="str">
        <f>IFERROR(__xludf.DUMMYFUNCTION("""COMPUTED_VALUE""")," My filthy subject wanted some hypno popper encouragement so of course I obliged. ")</f>
        <v> My filthy subject wanted some hypno popper encouragement so of course I obliged. </v>
      </c>
      <c r="E10" s="27" t="str">
        <f>IFERROR(__xludf.DUMMYFUNCTION("""COMPUTED_VALUE"""),"hypno, poppers encouragement, get high, I've ruined you for regular sex, you're obsessed fantasizing about extreme fantasies, you would do anything for me, I'm mindfucking you, it turns me on to corrupt you, snuff")</f>
        <v>hypno, poppers encouragement, get high, I've ruined you for regular sex, you're obsessed fantasizing about extreme fantasies, you would do anything for me, I'm mindfucking you, it turns me on to corrupt you, snuff</v>
      </c>
    </row>
    <row r="11">
      <c r="A11" s="52">
        <f>IFERROR(__xludf.DUMMYFUNCTION("""COMPUTED_VALUE"""),89.0)</f>
        <v>89</v>
      </c>
      <c r="B11" s="51">
        <f>IFERROR(__xludf.DUMMYFUNCTION("""COMPUTED_VALUE"""),44793.0)</f>
        <v>44793</v>
      </c>
      <c r="C11" s="27" t="str">
        <f>IFERROR(__xludf.DUMMYFUNCTION("""COMPUTED_VALUE"""),"Silent Call: Live Pervert Hypno w/Binaural")</f>
        <v>Silent Call: Live Pervert Hypno w/Binaural</v>
      </c>
      <c r="D11" s="27" t="str">
        <f>IFERROR(__xludf.DUMMYFUNCTION("""COMPUTED_VALUE"""),"Just a trigger heavy, whispery hypno voice with binaural sound in the background")</f>
        <v>Just a trigger heavy, whispery hypno voice with binaural sound in the background</v>
      </c>
      <c r="E11" s="27" t="str">
        <f>IFERROR(__xludf.DUMMYFUNCTION("""COMPUTED_VALUE"""),"hypno, binaural beats, cum countdown, I know your secret, accomplice, pervert encouragement")</f>
        <v>hypno, binaural beats, cum countdown, I know your secret, accomplice, pervert encouragement</v>
      </c>
    </row>
    <row r="12">
      <c r="A12" s="52">
        <f>IFERROR(__xludf.DUMMYFUNCTION("""COMPUTED_VALUE"""),96.0)</f>
        <v>96</v>
      </c>
      <c r="B12" s="51">
        <f>IFERROR(__xludf.DUMMYFUNCTION("""COMPUTED_VALUE"""),44803.0)</f>
        <v>44803</v>
      </c>
      <c r="C12" s="27" t="str">
        <f>IFERROR(__xludf.DUMMYFUNCTION("""COMPUTED_VALUE"""),"Silent Call: Trigger Word Rambling w/Binaural")</f>
        <v>Silent Call: Trigger Word Rambling w/Binaural</v>
      </c>
      <c r="D12" s="27" t="str">
        <f>IFERROR(__xludf.DUMMYFUNCTION("""COMPUTED_VALUE"""),"Your girlfriend is sucking your dick and letting you listen to an audio while she's doing it. You need it because guess what? Your girlfriend doesn't know how to encourage and corrupt a perv like you. ")</f>
        <v>Your girlfriend is sucking your dick and letting you listen to an audio while she's doing it. You need it because guess what? Your girlfriend doesn't know how to encourage and corrupt a perv like you. </v>
      </c>
      <c r="E12" s="27" t="str">
        <f>IFERROR(__xludf.DUMMYFUNCTION("""COMPUTED_VALUE"""),"binaural, hypno, pervert trigger words, pervert encouragement")</f>
        <v>binaural, hypno, pervert trigger words, pervert encouragement</v>
      </c>
    </row>
    <row r="13">
      <c r="A13" s="52">
        <f>IFERROR(__xludf.DUMMYFUNCTION("""COMPUTED_VALUE"""),98.0)</f>
        <v>98</v>
      </c>
      <c r="B13" s="51">
        <f>IFERROR(__xludf.DUMMYFUNCTION("""COMPUTED_VALUE"""),44805.0)</f>
        <v>44805</v>
      </c>
      <c r="C13" s="27" t="str">
        <f>IFERROR(__xludf.DUMMYFUNCTION("""COMPUTED_VALUE"""),"Custom Fill: Goddess Bea Hypnosis")</f>
        <v>Custom Fill: Goddess Bea Hypnosis</v>
      </c>
      <c r="D13" s="27" t="str">
        <f>IFERROR(__xludf.DUMMYFUNCTION("""COMPUTED_VALUE"""),"Erotic hypno file that urges you to go deeper and lust after your true desires. ")</f>
        <v>Erotic hypno file that urges you to go deeper and lust after your true desires. </v>
      </c>
      <c r="E13" s="27" t="str">
        <f>IFERROR(__xludf.DUMMYFUNCTION("""COMPUTED_VALUE"""),"hypno, femdom, induction through countdown, face sitting, watersports, rimming, finger snap trigger, worship me and her")</f>
        <v>hypno, femdom, induction through countdown, face sitting, watersports, rimming, finger snap trigger, worship me and her</v>
      </c>
    </row>
    <row r="14">
      <c r="A14" s="52">
        <f>IFERROR(__xludf.DUMMYFUNCTION("""COMPUTED_VALUE"""),105.0)</f>
        <v>105</v>
      </c>
      <c r="B14" s="51">
        <f>IFERROR(__xludf.DUMMYFUNCTION("""COMPUTED_VALUE"""),44810.0)</f>
        <v>44810</v>
      </c>
      <c r="C14" s="27" t="str">
        <f>IFERROR(__xludf.DUMMYFUNCTION("""COMPUTED_VALUE"""),"Pervy Ramblings #2")</f>
        <v>Pervy Ramblings #2</v>
      </c>
      <c r="D14" s="27" t="str">
        <f>IFERROR(__xludf.DUMMYFUNCTION("""COMPUTED_VALUE""")," Exclusive to VIP and literally just pervy thoughts that are currently floating inside of mind. ")</f>
        <v> Exclusive to VIP and literally just pervy thoughts that are currently floating inside of mind. </v>
      </c>
      <c r="E14" s="27" t="str">
        <f>IFERROR(__xludf.DUMMYFUNCTION("""COMPUTED_VALUE"""),"misogyny, fuck holes, dads/uncles/grandpas, hypnosis, mind control, podcast, Slut Next Door, d/s dynamic, goon club, rambling")</f>
        <v>misogyny, fuck holes, dads/uncles/grandpas, hypnosis, mind control, podcast, Slut Next Door, d/s dynamic, goon club, rambling</v>
      </c>
    </row>
    <row r="15">
      <c r="A15" s="52">
        <f>IFERROR(__xludf.DUMMYFUNCTION("""COMPUTED_VALUE"""),129.0)</f>
        <v>129</v>
      </c>
      <c r="B15" s="51">
        <f>IFERROR(__xludf.DUMMYFUNCTION("""COMPUTED_VALUE"""),44838.0)</f>
        <v>44838</v>
      </c>
      <c r="C15" s="27" t="str">
        <f>IFERROR(__xludf.DUMMYFUNCTION("""COMPUTED_VALUE"""),"Custom: PMC Patient #101 (play 'customPMC101' first)")</f>
        <v>Custom: PMC Patient #101 (play 'customPMC101' first)</v>
      </c>
      <c r="D15" s="27" t="str">
        <f>IFERROR(__xludf.DUMMYFUNCTION("""COMPUTED_VALUE"""),"Patient 101 needs more deepening and control so Dr. Beatrix intoxicates, hypnotizes, goons him out, and makes him sniff poppers. ")</f>
        <v>Patient 101 needs more deepening and control so Dr. Beatrix intoxicates, hypnotizes, goons him out, and makes him sniff poppers. </v>
      </c>
      <c r="E15" s="27" t="str">
        <f>IFERROR(__xludf.DUMMYFUNCTION("""COMPUTED_VALUE"""),"intoxication, PMC, egirls, tik tok cock teases, hypno, whispered trigger words, hentai girl moaning sfx, CEI, pervert encouragement")</f>
        <v>intoxication, PMC, egirls, tik tok cock teases, hypno, whispered trigger words, hentai girl moaning sfx, CEI, pervert encouragement</v>
      </c>
    </row>
    <row r="16">
      <c r="A16" s="52">
        <f>IFERROR(__xludf.DUMMYFUNCTION("""COMPUTED_VALUE"""),136.0)</f>
        <v>136</v>
      </c>
      <c r="B16" s="51">
        <f>IFERROR(__xludf.DUMMYFUNCTION("""COMPUTED_VALUE"""),44852.0)</f>
        <v>44852</v>
      </c>
      <c r="C16" s="27" t="str">
        <f>IFERROR(__xludf.DUMMYFUNCTION("""COMPUTED_VALUE"""),"Custom: PMC Patient #101 - Various Endings")</f>
        <v>Custom: PMC Patient #101 - Various Endings</v>
      </c>
      <c r="D16" s="27" t="str">
        <f>IFERROR(__xludf.DUMMYFUNCTION("""COMPUTED_VALUE"""),"Dr. Beatrix works with patient #101 on a deeper level. She thinks you're ready to become a sissy. Note: each audio is the same first 10 min and has different endings in relation to the titles. ")</f>
        <v>Dr. Beatrix works with patient #101 on a deeper level. She thinks you're ready to become a sissy. Note: each audio is the same first 10 min and has different endings in relation to the titles. </v>
      </c>
      <c r="E16" s="27" t="str">
        <f>IFERROR(__xludf.DUMMYFUNCTION("""COMPUTED_VALUE""")," medical setting, hypno, binaural effects, moaning effects, sissy, panties, CEI, denial, ruined orgasm, anal toy, sissy pussy, sissy hole, PMC, poppers, intoxication")</f>
        <v> medical setting, hypno, binaural effects, moaning effects, sissy, panties, CEI, denial, ruined orgasm, anal toy, sissy pussy, sissy hole, PMC, poppers, intoxication</v>
      </c>
    </row>
    <row r="17">
      <c r="A17" s="52">
        <f>IFERROR(__xludf.DUMMYFUNCTION("""COMPUTED_VALUE"""),194.0)</f>
        <v>194</v>
      </c>
      <c r="B17" s="51">
        <f>IFERROR(__xludf.DUMMYFUNCTION("""COMPUTED_VALUE"""),44924.0)</f>
        <v>44924</v>
      </c>
      <c r="C17" s="27" t="str">
        <f>IFERROR(__xludf.DUMMYFUNCTION("""COMPUTED_VALUE"""),"Custom: PMC Patient 216 Goes Lower")</f>
        <v>Custom: PMC Patient 216 Goes Lower</v>
      </c>
      <c r="D17" s="27" t="str">
        <f>IFERROR(__xludf.DUMMYFUNCTION("""COMPUTED_VALUE"""),"Dr Beatrix needs one of her patients to go deeper. He's become complacent and performing at low levels. She decides to take his interests lower, intoxicate him, and make him goon while he is being brainwashed.")</f>
        <v>Dr Beatrix needs one of her patients to go deeper. He's become complacent and performing at low levels. She decides to take his interests lower, intoxicate him, and make him goon while he is being brainwashed.</v>
      </c>
      <c r="E17" s="27" t="str">
        <f>IFERROR(__xludf.DUMMYFUNCTION("""COMPUTED_VALUE"""),"medical setting, doctor/patient, LSD intoxication, gooning, cock pumping machine, hypno-ish, different endings, cum countdown, addiction encouragement, pervert encouragement")</f>
        <v>medical setting, doctor/patient, LSD intoxication, gooning, cock pumping machine, hypno-ish, different endings, cum countdown, addiction encouragement, pervert encouragement</v>
      </c>
    </row>
    <row r="18">
      <c r="A18" s="52">
        <f>IFERROR(__xludf.DUMMYFUNCTION("""COMPUTED_VALUE"""),232.0)</f>
        <v>232</v>
      </c>
      <c r="B18" s="51">
        <f>IFERROR(__xludf.DUMMYFUNCTION("""COMPUTED_VALUE"""),44961.0)</f>
        <v>44961</v>
      </c>
      <c r="C18" s="27" t="str">
        <f>IFERROR(__xludf.DUMMYFUNCTION("""COMPUTED_VALUE"""),"Custom: Mommy's Gooner Girl")</f>
        <v>Custom: Mommy's Gooner Girl</v>
      </c>
      <c r="D18" s="27" t="str">
        <f>IFERROR(__xludf.DUMMYFUNCTION("""COMPUTED_VALUE"""),"Sissy hypno, without the use of the word sissy. I encourage the listener to put on their feminine slut uniform, sniff popper, and turn into mommy’s gooner girl, gooning to naughty thoughts and images. ")</f>
        <v>Sissy hypno, without the use of the word sissy. I encourage the listener to put on their feminine slut uniform, sniff popper, and turn into mommy’s gooner girl, gooning to naughty thoughts and images. </v>
      </c>
      <c r="E18" s="27" t="str">
        <f>IFERROR(__xludf.DUMMYFUNCTION("""COMPUTED_VALUE"""),"hypno, feminization, poppers, binaural, good girl, goon encouragement, anal toy play, bimbofication, get dumb and empty")</f>
        <v>hypno, feminization, poppers, binaural, good girl, goon encouragement, anal toy play, bimbofication, get dumb and empty</v>
      </c>
    </row>
    <row r="19">
      <c r="A19" s="52">
        <f>IFERROR(__xludf.DUMMYFUNCTION("""COMPUTED_VALUE"""),233.0)</f>
        <v>233</v>
      </c>
      <c r="B19" s="51">
        <f>IFERROR(__xludf.DUMMYFUNCTION("""COMPUTED_VALUE"""),44964.0)</f>
        <v>44964</v>
      </c>
      <c r="C19" s="27" t="str">
        <f>IFERROR(__xludf.DUMMYFUNCTION("""COMPUTED_VALUE"""),"Custom: Perv Goddess Hypno Lg &amp; Lb")</f>
        <v>Custom: Perv Goddess Hypno Lg &amp; Lb</v>
      </c>
      <c r="D19" s="27" t="str">
        <f>IFERROR(__xludf.DUMMYFUNCTION("""COMPUTED_VALUE"""),"Hypo file encouraging the listening to deepen his fantasies and include one more gender. ")</f>
        <v>Hypo file encouraging the listening to deepen his fantasies and include one more gender. </v>
      </c>
      <c r="E19" s="27" t="str">
        <f>IFERROR(__xludf.DUMMYFUNCTION("""COMPUTED_VALUE"""),"hypno, binaural, it's all in your mind, enouragement, sodomy, oral")</f>
        <v>hypno, binaural, it's all in your mind, enouragement, sodomy, oral</v>
      </c>
    </row>
    <row r="20">
      <c r="A20" s="52">
        <f>IFERROR(__xludf.DUMMYFUNCTION("""COMPUTED_VALUE"""),284.0)</f>
        <v>284</v>
      </c>
      <c r="B20" s="51">
        <f>IFERROR(__xludf.DUMMYFUNCTION("""COMPUTED_VALUE"""),45026.0)</f>
        <v>45026</v>
      </c>
      <c r="C20" s="27" t="str">
        <f>IFERROR(__xludf.DUMMYFUNCTION("""COMPUTED_VALUE"""),"Custom: PMC Patient #321")</f>
        <v>Custom: PMC Patient #321</v>
      </c>
      <c r="D20" s="27" t="str">
        <f>IFERROR(__xludf.DUMMYFUNCTION("""COMPUTED_VALUE"""),"Dr Beatrix introduces another patient into the PMC that is addicted to social media cuties. ")</f>
        <v>Dr Beatrix introduces another patient into the PMC that is addicted to social media cuties. </v>
      </c>
      <c r="E20" s="27" t="str">
        <f>IFERROR(__xludf.DUMMYFUNCTION("""COMPUTED_VALUE"""),"doctor/patient, hypno, instagram, gooning encouragement, male masturbation, porn encouragement, pervert encouragement")</f>
        <v>doctor/patient, hypno, instagram, gooning encouragement, male masturbation, porn encouragement, pervert encouragement</v>
      </c>
    </row>
    <row r="21">
      <c r="A21" s="52">
        <f>IFERROR(__xludf.DUMMYFUNCTION("""COMPUTED_VALUE"""),298.0)</f>
        <v>298</v>
      </c>
      <c r="B21" s="51">
        <f>IFERROR(__xludf.DUMMYFUNCTION("""COMPUTED_VALUE"""),45044.0)</f>
        <v>45044</v>
      </c>
      <c r="C21" s="27" t="str">
        <f>IFERROR(__xludf.DUMMYFUNCTION("""COMPUTED_VALUE"""),"Custom: Evil Mistress Enslaves A Pervert")</f>
        <v>Custom: Evil Mistress Enslaves A Pervert</v>
      </c>
      <c r="D21" s="27" t="str">
        <f>IFERROR(__xludf.DUMMYFUNCTION("""COMPUTED_VALUE"""),"You’ve been my submissive/slave for a while, roleplaying with me with your sickest desires. I’ve got you by the balls and use a little bit of brainwashing hypnosis, intoxication, and blackmail threats to get you to cross the ultimate line for me. ")</f>
        <v>You’ve been my submissive/slave for a while, roleplaying with me with your sickest desires. I’ve got you by the balls and use a little bit of brainwashing hypnosis, intoxication, and blackmail threats to get you to cross the ultimate line for me. </v>
      </c>
      <c r="E21" s="27" t="str">
        <f>IFERROR(__xludf.DUMMYFUNCTION("""COMPUTED_VALUE"""),"femdom, corruption, noncon, hypno, into, blackmail, extreme, accomplice")</f>
        <v>femdom, corruption, noncon, hypno, into, blackmail, extreme, accomplice</v>
      </c>
    </row>
    <row r="22">
      <c r="A22" s="52">
        <f>IFERROR(__xludf.DUMMYFUNCTION("""COMPUTED_VALUE"""),316.0)</f>
        <v>316</v>
      </c>
      <c r="B22" s="51">
        <f>IFERROR(__xludf.DUMMYFUNCTION("""COMPUTED_VALUE"""),45079.0)</f>
        <v>45079</v>
      </c>
      <c r="C22" s="27" t="str">
        <f>IFERROR(__xludf.DUMMYFUNCTION("""COMPUTED_VALUE"""),"Custom: Hypnotherapy From Mommy")</f>
        <v>Custom: Hypnotherapy From Mommy</v>
      </c>
      <c r="D22" s="27" t="str">
        <f>IFERROR(__xludf.DUMMYFUNCTION("""COMPUTED_VALUE""")," You are my patient and I am your therapist. You have revealed some really twisted sexual desires and fantasies you have and I decide that the only way to help you deal with them in a “healthy” way is through hypnotherapy. I put you into trance and become"&amp;" your mother and age regress you, bringing up your attraction to your little sister and me, and finally taking your virginity.")</f>
        <v> You are my patient and I am your therapist. You have revealed some really twisted sexual desires and fantasies you have and I decide that the only way to help you deal with them in a “healthy” way is through hypnotherapy. I put you into trance and become your mother and age regress you, bringing up your attraction to your little sister and me, and finally taking your virginity.</v>
      </c>
      <c r="E22" s="27" t="str">
        <f>IFERROR(__xludf.DUMMYFUNCTION("""COMPUTED_VALUE"""),"hypno, binaural, therapist/patient, incest, age regression, little sis/big bro, MDlb, oral, oral sfx, cowgirl, incest sex, creampie, cum countdown, CEI, creampie cleanup.")</f>
        <v>hypno, binaural, therapist/patient, incest, age regression, little sis/big bro, MDlb, oral, oral sfx, cowgirl, incest sex, creampie, cum countdown, CEI, creampie cleanup.</v>
      </c>
    </row>
    <row r="23">
      <c r="A23" s="52">
        <f>IFERROR(__xludf.DUMMYFUNCTION("""COMPUTED_VALUE"""),332.0)</f>
        <v>332</v>
      </c>
      <c r="B23" s="51">
        <f>IFERROR(__xludf.DUMMYFUNCTION("""COMPUTED_VALUE"""),45102.0)</f>
        <v>45102</v>
      </c>
      <c r="C23" s="27" t="str">
        <f>IFERROR(__xludf.DUMMYFUNCTION("""COMPUTED_VALUE"""),"Custom: Mommy’s Hypnotherapy Part 2")</f>
        <v>Custom: Mommy’s Hypnotherapy Part 2</v>
      </c>
      <c r="D23" s="27" t="str">
        <f>IFERROR(__xludf.DUMMYFUNCTION("""COMPUTED_VALUE"""),"I’m a therapist who knows about the extreme perversions inside of your head. Instead of dispelling them, I decide to do a special kind of hypnotherapy")</f>
        <v>I’m a therapist who knows about the extreme perversions inside of your head. Instead of dispelling them, I decide to do a special kind of hypnotherapy</v>
      </c>
      <c r="E23" s="27" t="str">
        <f>IFERROR(__xludf.DUMMYFUNCTION("""COMPUTED_VALUE"""),"hypno, binaural, asmr, sfx, mom/son, perv encouragement, accomplice, brief incest mention, noncon, three orgasms/one cum countdown, face use, creampies")</f>
        <v>hypno, binaural, asmr, sfx, mom/son, perv encouragement, accomplice, brief incest mention, noncon, three orgasms/one cum countdown, face use, creampies</v>
      </c>
    </row>
    <row r="24">
      <c r="A24" s="52">
        <f>IFERROR(__xludf.DUMMYFUNCTION("""COMPUTED_VALUE"""),353.0)</f>
        <v>353</v>
      </c>
      <c r="B24" s="51">
        <f>IFERROR(__xludf.DUMMYFUNCTION("""COMPUTED_VALUE"""),45121.0)</f>
        <v>45121</v>
      </c>
      <c r="C24" s="27" t="str">
        <f>IFERROR(__xludf.DUMMYFUNCTION("""COMPUTED_VALUE"""),"Custom: Daughter Slut Programming")</f>
        <v>Custom: Daughter Slut Programming</v>
      </c>
      <c r="D24" s="27" t="str">
        <f>IFERROR(__xludf.DUMMYFUNCTION("""COMPUTED_VALUE"""),"Dr. Beatrix has state of the lab where she brainwashes daughters into being perfect fuck dolls for their daddies. Two of my patients have been exceptionally successful and I decide to brainwash them more, encouraging them to be sluts for all men. ")</f>
        <v>Dr. Beatrix has state of the lab where she brainwashes daughters into being perfect fuck dolls for their daddies. Two of my patients have been exceptionally successful and I decide to brainwash them more, encouraging them to be sluts for all men. </v>
      </c>
      <c r="E24" s="27" t="str">
        <f>IFERROR(__xludf.DUMMYFUNCTION("""COMPUTED_VALUE"""),"accomplice, hypnosis, DDlg, daughter swapping, submissive sluts")</f>
        <v>accomplice, hypnosis, DDlg, daughter swapping, submissive sluts</v>
      </c>
    </row>
    <row r="25">
      <c r="A25" s="52">
        <f>IFERROR(__xludf.DUMMYFUNCTION("""COMPUTED_VALUE"""),372.0)</f>
        <v>372</v>
      </c>
      <c r="B25" s="51">
        <f>IFERROR(__xludf.DUMMYFUNCTION("""COMPUTED_VALUE"""),45152.0)</f>
        <v>45152</v>
      </c>
      <c r="C25" s="27" t="str">
        <f>IFERROR(__xludf.DUMMYFUNCTION("""COMPUTED_VALUE"""),"Seraphina Guardian Angel Corruption")</f>
        <v>Seraphina Guardian Angel Corruption</v>
      </c>
      <c r="D25" s="27" t="str">
        <f>IFERROR(__xludf.DUMMYFUNCTION("""COMPUTED_VALUE"""),"Your guardian angel (me) appears to you for the first time following some internal turmoil you’ve experienced with your secret perversion. I appear like I’m there to help forgive you of your sins, but end up corrupting you further.")</f>
        <v>Your guardian angel (me) appears to you for the first time following some internal turmoil you’ve experienced with your secret perversion. I appear like I’m there to help forgive you of your sins, but end up corrupting you further.</v>
      </c>
      <c r="E25" s="27" t="str">
        <f>IFERROR(__xludf.DUMMYFUNCTION("""COMPUTED_VALUE"""),"hypno, blasphemy, corruption, accomplice, hypnotic suggestion, sfx")</f>
        <v>hypno, blasphemy, corruption, accomplice, hypnotic suggestion, sfx</v>
      </c>
    </row>
    <row r="26">
      <c r="A26" s="52">
        <f>IFERROR(__xludf.DUMMYFUNCTION("""COMPUTED_VALUE"""),379.0)</f>
        <v>379</v>
      </c>
      <c r="B26" s="51">
        <f>IFERROR(__xludf.DUMMYFUNCTION("""COMPUTED_VALUE"""),45159.0)</f>
        <v>45159</v>
      </c>
      <c r="C26" s="27" t="str">
        <f>IFERROR(__xludf.DUMMYFUNCTION("""COMPUTED_VALUE"""),"Custom: Dr. Vale’s Corruption")</f>
        <v>Custom: Dr. Vale’s Corruption</v>
      </c>
      <c r="D26" s="27" t="str">
        <f>IFERROR(__xludf.DUMMYFUNCTION("""COMPUTED_VALUE"""),"This file is about how the listener came into a dentist’s office to get a procedure done, but Dr. Vale is secretly evil and used her medically intoxicated patients to perform brain surgery on them and install femdom fetishes into their brain, ultimately c"&amp;"orrupting and changing them forever.")</f>
        <v>This file is about how the listener came into a dentist’s office to get a procedure done, but Dr. Vale is secretly evil and used her medically intoxicated patients to perform brain surgery on them and install femdom fetishes into their brain, ultimately corrupting and changing them forever.</v>
      </c>
      <c r="E26" s="27" t="str">
        <f>IFERROR(__xludf.DUMMYFUNCTION("""COMPUTED_VALUE"""),"hypnosis, drilling sfx, pegging, implied age, black latex, ASMR, Corruption, mindfucking")</f>
        <v>hypnosis, drilling sfx, pegging, implied age, black latex, ASMR, Corruption, mindfucking</v>
      </c>
    </row>
    <row r="27">
      <c r="A27" s="52">
        <f>IFERROR(__xludf.DUMMYFUNCTION("""COMPUTED_VALUE"""),391.0)</f>
        <v>391</v>
      </c>
      <c r="B27" s="51">
        <f>IFERROR(__xludf.DUMMYFUNCTION("""COMPUTED_VALUE"""),45171.0)</f>
        <v>45171</v>
      </c>
      <c r="C27" s="27" t="str">
        <f>IFERROR(__xludf.DUMMYFUNCTION("""COMPUTED_VALUE"""),"Improv: Mommy’s Good Mindless Boy")</f>
        <v>Improv: Mommy’s Good Mindless Boy</v>
      </c>
      <c r="D27" s="27" t="str">
        <f>IFERROR(__xludf.DUMMYFUNCTION("""COMPUTED_VALUE"""),"Light hypno file that encourages you to become triggered by my voice and hearing me say, “good boy.”")</f>
        <v>Light hypno file that encourages you to become triggered by my voice and hearing me say, “good boy.”</v>
      </c>
      <c r="E27" s="27" t="str">
        <f>IFERROR(__xludf.DUMMYFUNCTION("""COMPUTED_VALUE"""),"hypno, snaps, edge, tease, MDlb")</f>
        <v>hypno, snaps, edge, tease, MDlb</v>
      </c>
    </row>
    <row r="28">
      <c r="A28" s="52">
        <f>IFERROR(__xludf.DUMMYFUNCTION("""COMPUTED_VALUE"""),393.0)</f>
        <v>393</v>
      </c>
      <c r="B28" s="51">
        <f>IFERROR(__xludf.DUMMYFUNCTION("""COMPUTED_VALUE"""),45178.0)</f>
        <v>45178</v>
      </c>
      <c r="C28" s="27" t="str">
        <f>IFERROR(__xludf.DUMMYFUNCTION("""COMPUTED_VALUE"""),"Custom: Homewrecking Therapist")</f>
        <v>Custom: Homewrecking Therapist</v>
      </c>
      <c r="D28" s="27" t="str">
        <f>IFERROR(__xludf.DUMMYFUNCTION("""COMPUTED_VALUE"""),"You're a married man. I'm your therapist. I put you under and decide to fully corrupt and mindfuck you to betray your wife and become obsessed and serve me. Leave your wife for me...you have no choice as I've got you under a spell and trance.")</f>
        <v>You're a married man. I'm your therapist. I put you under and decide to fully corrupt and mindfuck you to betray your wife and become obsessed and serve me. Leave your wife for me...you have no choice as I've got you under a spell and trance.</v>
      </c>
      <c r="E28" s="27" t="str">
        <f>IFERROR(__xludf.DUMMYFUNCTION("""COMPUTED_VALUE"""),"no ap, hypno, femdom, homewrecking, corruption, sfx, mindfuck")</f>
        <v>no ap, hypno, femdom, homewrecking, corruption, sfx, mindfuck</v>
      </c>
    </row>
    <row r="29">
      <c r="A29" s="52">
        <f>IFERROR(__xludf.DUMMYFUNCTION("""COMPUTED_VALUE"""),406.0)</f>
        <v>406</v>
      </c>
      <c r="B29" s="51">
        <f>IFERROR(__xludf.DUMMYFUNCTION("""COMPUTED_VALUE"""),45194.0)</f>
        <v>45194</v>
      </c>
      <c r="C29" s="27" t="str">
        <f>IFERROR(__xludf.DUMMYFUNCTION("""COMPUTED_VALUE"""),"Hypno: The Magical Ms. Vale")</f>
        <v>Hypno: The Magical Ms. Vale</v>
      </c>
      <c r="D29" s="27" t="str">
        <f>IFERROR(__xludf.DUMMYFUNCTION("""COMPUTED_VALUE"""),"A boy finds himself lured into a magic show and ends up being the magician’s assistant, being put through all kinds of humiliating positions.")</f>
        <v>A boy finds himself lured into a magic show and ends up being the magician’s assistant, being put through all kinds of humiliating positions.</v>
      </c>
      <c r="E29" s="27" t="str">
        <f>IFERROR(__xludf.DUMMYFUNCTION("""COMPUTED_VALUE"""),"hypno, implied ap, handjob, public humiliation, all kinds of sfx, high heel penetration, magical transformation, hands free orgasm")</f>
        <v>hypno, implied ap, handjob, public humiliation, all kinds of sfx, high heel penetration, magical transformation, hands free orgasm</v>
      </c>
    </row>
    <row r="30">
      <c r="A30" s="52">
        <f>IFERROR(__xludf.DUMMYFUNCTION("""COMPUTED_VALUE"""),407.0)</f>
        <v>407</v>
      </c>
      <c r="B30" s="51">
        <f>IFERROR(__xludf.DUMMYFUNCTION("""COMPUTED_VALUE"""),45195.0)</f>
        <v>45195</v>
      </c>
      <c r="C30" s="27" t="str">
        <f>IFERROR(__xludf.DUMMYFUNCTION("""COMPUTED_VALUE"""),"Babysitter Corruption")</f>
        <v>Babysitter Corruption</v>
      </c>
      <c r="D30" s="27" t="str">
        <f>IFERROR(__xludf.DUMMYFUNCTION("""COMPUTED_VALUE"""),"A bratty babysitter ruins boys for sport.")</f>
        <v>A bratty babysitter ruins boys for sport.</v>
      </c>
      <c r="E30" s="27" t="str">
        <f>IFERROR(__xludf.DUMMYFUNCTION("""COMPUTED_VALUE"""),"implied ap, virgin collector, humiliation, brat, femdom, foot fetish, anal penetration, teasing, hands free orgasm, hypnotic loop at end")</f>
        <v>implied ap, virgin collector, humiliation, brat, femdom, foot fetish, anal penetration, teasing, hands free orgasm, hypnotic loop at end</v>
      </c>
    </row>
    <row r="31">
      <c r="A31" s="52">
        <f>IFERROR(__xludf.DUMMYFUNCTION("""COMPUTED_VALUE"""),411.0)</f>
        <v>411</v>
      </c>
      <c r="B31" s="51">
        <f>IFERROR(__xludf.DUMMYFUNCTION("""COMPUTED_VALUE"""),45198.0)</f>
        <v>45198</v>
      </c>
      <c r="C31" s="27" t="str">
        <f>IFERROR(__xludf.DUMMYFUNCTION("""COMPUTED_VALUE"""),"Seraphina’s Corruption Part 2")</f>
        <v>Seraphina’s Corruption Part 2</v>
      </c>
      <c r="D31" s="27" t="str">
        <f>IFERROR(__xludf.DUMMYFUNCTION("""COMPUTED_VALUE"""),"The listener’s guardian angel is back for more corruption and making him worse.")</f>
        <v>The listener’s guardian angel is back for more corruption and making him worse.</v>
      </c>
      <c r="E31" s="27" t="str">
        <f>IFERROR(__xludf.DUMMYFUNCTION("""COMPUTED_VALUE"""),"accomplice, pervert encouragement, hypnotic, blasphemy, satanic, sfx, higher pitched voice sfx, breeding")</f>
        <v>accomplice, pervert encouragement, hypnotic, blasphemy, satanic, sfx, higher pitched voice sfx, breeding</v>
      </c>
    </row>
    <row r="32">
      <c r="A32" s="52">
        <f>IFERROR(__xludf.DUMMYFUNCTION("""COMPUTED_VALUE"""),450.0)</f>
        <v>450</v>
      </c>
      <c r="B32" s="51">
        <f>IFERROR(__xludf.DUMMYFUNCTION("""COMPUTED_VALUE"""),45239.0)</f>
        <v>45239</v>
      </c>
      <c r="C32" s="27" t="str">
        <f>IFERROR(__xludf.DUMMYFUNCTION("""COMPUTED_VALUE"""),"Brutal Revenge")</f>
        <v>Brutal Revenge</v>
      </c>
      <c r="D32" s="27" t="str">
        <f>IFERROR(__xludf.DUMMYFUNCTION("""COMPUTED_VALUE"""),"I am a witch and scour thousands of men to find one I can use for serving up revenge. The listener is transformed into a beast of man to help me torture a mother and daughter.")</f>
        <v>I am a witch and scour thousands of men to find one I can use for serving up revenge. The listener is transformed into a beast of man to help me torture a mother and daughter.</v>
      </c>
      <c r="E32" s="27" t="str">
        <f>IFERROR(__xludf.DUMMYFUNCTION("""COMPUTED_VALUE"""),"witchcraft, hypnosis, transformation, binaural, torture, sadism, beast, forced STD sex, snuff, extreme")</f>
        <v>witchcraft, hypnosis, transformation, binaural, torture, sadism, beast, forced STD sex, snuff, extreme</v>
      </c>
    </row>
    <row r="33">
      <c r="A33" s="52">
        <f>IFERROR(__xludf.DUMMYFUNCTION("""COMPUTED_VALUE"""),468.0)</f>
        <v>468</v>
      </c>
      <c r="B33" s="51">
        <f>IFERROR(__xludf.DUMMYFUNCTION("""COMPUTED_VALUE"""),45253.0)</f>
        <v>45253</v>
      </c>
      <c r="C33" s="27" t="str">
        <f>IFERROR(__xludf.DUMMYFUNCTION("""COMPUTED_VALUE"""),"Custom: Reject Humiliation Mindfuck Loop
")</f>
        <v>Custom: Reject Humiliation Mindfuck Loop
</v>
      </c>
      <c r="D33" s="27" t="str">
        <f>IFERROR(__xludf.DUMMYFUNCTION("""COMPUTED_VALUE"""),"Hypnotic file with loops of following themes: sexual reject humiliation, premature ejaculator, prostitute sex, noncon with mother and another name.")</f>
        <v>Hypnotic file with loops of following themes: sexual reject humiliation, premature ejaculator, prostitute sex, noncon with mother and another name.</v>
      </c>
      <c r="E33" s="27" t="str">
        <f>IFERROR(__xludf.DUMMYFUNCTION("""COMPUTED_VALUE"""),"no ap, humiliation, hypnotic, noncon")</f>
        <v>no ap, humiliation, hypnotic, noncon</v>
      </c>
    </row>
    <row r="34">
      <c r="A34" s="52">
        <f>IFERROR(__xludf.DUMMYFUNCTION("""COMPUTED_VALUE"""),471.0)</f>
        <v>471</v>
      </c>
      <c r="B34" s="51">
        <f>IFERROR(__xludf.DUMMYFUNCTION("""COMPUTED_VALUE"""),45630.0)</f>
        <v>45630</v>
      </c>
      <c r="C34" s="27" t="str">
        <f>IFERROR(__xludf.DUMMYFUNCTION("""COMPUTED_VALUE"""),"Custom: PMC Overload")</f>
        <v>Custom: PMC Overload</v>
      </c>
      <c r="D34" s="27" t="str">
        <f>IFERROR(__xludf.DUMMYFUNCTION("""COMPUTED_VALUE"""),"Dr Beatrix is back and is settled into her program for sexual deviants. One of my patients ends up having a dangerous overload, spewing spunk everywhere, overloaded with pleasure and mindfucks. I enter his mind and work out the kinks. ")</f>
        <v>Dr Beatrix is back and is settled into her program for sexual deviants. One of my patients ends up having a dangerous overload, spewing spunk everywhere, overloaded with pleasure and mindfucks. I enter his mind and work out the kinks. </v>
      </c>
      <c r="E34" s="27" t="str">
        <f>IFERROR(__xludf.DUMMYFUNCTION("""COMPUTED_VALUE"""),"hypnotic, incest, DDlg, breeding, mindfuck, sfx")</f>
        <v>hypnotic, incest, DDlg, breeding, mindfuck, sfx</v>
      </c>
    </row>
    <row r="35">
      <c r="A35" s="52">
        <f>IFERROR(__xludf.DUMMYFUNCTION("""COMPUTED_VALUE"""),473.0)</f>
        <v>473</v>
      </c>
      <c r="B35" s="51">
        <f>IFERROR(__xludf.DUMMYFUNCTION("""COMPUTED_VALUE"""),45632.0)</f>
        <v>45632</v>
      </c>
      <c r="C35" s="27" t="str">
        <f>IFERROR(__xludf.DUMMYFUNCTION("""COMPUTED_VALUE"""),"Custom: Little Feet Worship Hypno")</f>
        <v>Custom: Little Feet Worship Hypno</v>
      </c>
      <c r="D35" s="27" t="str">
        <f>IFERROR(__xludf.DUMMYFUNCTION("""COMPUTED_VALUE"""),"I’m your Mistress and encourage you to drop and goon for little feet. ")</f>
        <v>I’m your Mistress and encourage you to drop and goon for little feet. </v>
      </c>
      <c r="E35" s="27" t="str">
        <f>IFERROR(__xludf.DUMMYFUNCTION("""COMPUTED_VALUE"""),"hypno, foot fetish, gentle femdom, binaural, ASMR, cum countdown")</f>
        <v>hypno, foot fetish, gentle femdom, binaural, ASMR, cum countdown</v>
      </c>
    </row>
    <row r="36">
      <c r="A36" s="52">
        <f>IFERROR(__xludf.DUMMYFUNCTION("""COMPUTED_VALUE"""),495.0)</f>
        <v>495</v>
      </c>
      <c r="B36" s="51">
        <f>IFERROR(__xludf.DUMMYFUNCTION("""COMPUTED_VALUE"""),45294.0)</f>
        <v>45294</v>
      </c>
      <c r="C36" s="27" t="str">
        <f>IFERROR(__xludf.DUMMYFUNCTION("""COMPUTED_VALUE"""),"Custom: PMC Conversion Therapy Intro")</f>
        <v>Custom: PMC Conversion Therapy Intro</v>
      </c>
      <c r="D36" s="27" t="str">
        <f>IFERROR(__xludf.DUMMYFUNCTION("""COMPUTED_VALUE"""),"In this version of the PMC, not only do we accept perverts, we help to brainwash and bring our clients closer to God. ")</f>
        <v>In this version of the PMC, not only do we accept perverts, we help to brainwash and bring our clients closer to God. </v>
      </c>
      <c r="E36" s="27" t="str">
        <f>IFERROR(__xludf.DUMMYFUNCTION("""COMPUTED_VALUE"""),"PMC, hypno, 3dio binaural mic, binaural, blasphemy, god is a woman, pervert encouragement, gooning")</f>
        <v>PMC, hypno, 3dio binaural mic, binaural, blasphemy, god is a woman, pervert encouragement, gooning</v>
      </c>
    </row>
    <row r="37">
      <c r="A37" s="52">
        <f>IFERROR(__xludf.DUMMYFUNCTION("""COMPUTED_VALUE"""),495.0)</f>
        <v>495</v>
      </c>
      <c r="B37" s="51">
        <f>IFERROR(__xludf.DUMMYFUNCTION("""COMPUTED_VALUE"""),45294.0)</f>
        <v>45294</v>
      </c>
      <c r="C37" s="27" t="str">
        <f>IFERROR(__xludf.DUMMYFUNCTION("""COMPUTED_VALUE"""),"Custom: PMC Conversion Therapy Loop")</f>
        <v>Custom: PMC Conversion Therapy Loop</v>
      </c>
      <c r="D37" s="27" t="str">
        <f>IFERROR(__xludf.DUMMYFUNCTION("""COMPUTED_VALUE"""),"In this version of the PMC, not only do we accept perverts, we help to brainwash and bring our clients closer to God. ")</f>
        <v>In this version of the PMC, not only do we accept perverts, we help to brainwash and bring our clients closer to God. </v>
      </c>
      <c r="E37" s="27" t="str">
        <f>IFERROR(__xludf.DUMMYFUNCTION("""COMPUTED_VALUE"""),"PMC, hypno, 3dio binaural mic, binaural, blasphemy, god is a woman, pervert encouragement, gooning")</f>
        <v>PMC, hypno, 3dio binaural mic, binaural, blasphemy, god is a woman, pervert encouragement, gooning</v>
      </c>
    </row>
    <row r="38">
      <c r="A38" s="52">
        <f>IFERROR(__xludf.DUMMYFUNCTION("""COMPUTED_VALUE"""),499.0)</f>
        <v>499</v>
      </c>
      <c r="B38" s="51">
        <f>IFERROR(__xludf.DUMMYFUNCTION("""COMPUTED_VALUE"""),45652.0)</f>
        <v>45652</v>
      </c>
      <c r="C38" s="27" t="str">
        <f>IFERROR(__xludf.DUMMYFUNCTION("""COMPUTED_VALUE"""),"Custom: Gooner Girl Part 2")</f>
        <v>Custom: Gooner Girl Part 2</v>
      </c>
      <c r="D38" s="27" t="str">
        <f>IFERROR(__xludf.DUMMYFUNCTION("""COMPUTED_VALUE"""),"This file is like a sissy file without mentioning the word sissy. She/her is used, as well as clit and fuck hole. Goon to your special girls with Mommy and drop deeper")</f>
        <v>This file is like a sissy file without mentioning the word sissy. She/her is used, as well as clit and fuck hole. Goon to your special girls with Mommy and drop deeper</v>
      </c>
      <c r="E38" s="27" t="str">
        <f>IFERROR(__xludf.DUMMYFUNCTION("""COMPUTED_VALUE""")," sissy, hypno, anal play, panties, goon")</f>
        <v> sissy, hypno, anal play, panties, goon</v>
      </c>
    </row>
    <row r="39">
      <c r="A39" s="52">
        <f>IFERROR(__xludf.DUMMYFUNCTION("""COMPUTED_VALUE"""),507.0)</f>
        <v>507</v>
      </c>
      <c r="B39" s="51">
        <f>IFERROR(__xludf.DUMMYFUNCTION("""COMPUTED_VALUE"""),45302.0)</f>
        <v>45302</v>
      </c>
      <c r="C39" s="27" t="str">
        <f>IFERROR(__xludf.DUMMYFUNCTION("""COMPUTED_VALUE"""),"Improv: PMC Reboot Session")</f>
        <v>Improv: PMC Reboot Session</v>
      </c>
      <c r="D39" s="27" t="str">
        <f>IFERROR(__xludf.DUMMYFUNCTION("""COMPUTED_VALUE"""),"Patient is getting too comfortable in his current perv levels so I work to inspire more perversion inside his mind.  ")</f>
        <v>Patient is getting too comfortable in his current perv levels so I work to inspire more perversion inside his mind.  </v>
      </c>
      <c r="E39" s="27" t="str">
        <f>IFERROR(__xludf.DUMMYFUNCTION("""COMPUTED_VALUE"""),"3dio, binaural, hypnosis, pervert encouragement")</f>
        <v>3dio, binaural, hypnosis, pervert encouragement</v>
      </c>
    </row>
    <row r="40">
      <c r="A40" s="52">
        <f>IFERROR(__xludf.DUMMYFUNCTION("""COMPUTED_VALUE"""),524.0)</f>
        <v>524</v>
      </c>
      <c r="B40" s="51">
        <f>IFERROR(__xludf.DUMMYFUNCTION("""COMPUTED_VALUE"""),45329.0)</f>
        <v>45329</v>
      </c>
      <c r="C40" s="27" t="str">
        <f>IFERROR(__xludf.DUMMYFUNCTION("""COMPUTED_VALUE"""),"Custom: Hypno Mommy")</f>
        <v>Custom: Hypno Mommy</v>
      </c>
      <c r="D40" s="27" t="str">
        <f>IFERROR(__xludf.DUMMYFUNCTION("""COMPUTED_VALUE"""),"A slow burn, taboo mesmerize session. I am your Mommy and I am a professional hypnotist. You've been stressed and seem tense so I talk you into a session. Seems innocent enough. Your body shows signs of arousal while going into trance which surprises me a"&amp;"t first. But then I can't stop looking at it. Looking at you. Wanting to get closer. You will hear Mommy's inner turmoil until I eventually use my hypnotic control over you to get what I want. ")</f>
        <v>A slow burn, taboo mesmerize session. I am your Mommy and I am a professional hypnotist. You've been stressed and seem tense so I talk you into a session. Seems innocent enough. Your body shows signs of arousal while going into trance which surprises me at first. But then I can't stop looking at it. Looking at you. Wanting to get closer. You will hear Mommy's inner turmoil until I eventually use my hypnotic control over you to get what I want. </v>
      </c>
      <c r="E40" s="27" t="str">
        <f>IFERROR(__xludf.DUMMYFUNCTION("""COMPUTED_VALUE"""),"implied ap, MDlb, hypnosis, cnc, slow burn, breeding, incest")</f>
        <v>implied ap, MDlb, hypnosis, cnc, slow burn, breeding, incest</v>
      </c>
    </row>
    <row r="41">
      <c r="A41" s="52">
        <f>IFERROR(__xludf.DUMMYFUNCTION("""COMPUTED_VALUE"""),534.0)</f>
        <v>534</v>
      </c>
      <c r="B41" s="51">
        <f>IFERROR(__xludf.DUMMYFUNCTION("""COMPUTED_VALUE"""),45346.0)</f>
        <v>45346</v>
      </c>
      <c r="C41" s="27" t="str">
        <f>IFERROR(__xludf.DUMMYFUNCTION("""COMPUTED_VALUE"""),"Improv: Goddess Mom Daughter Session")</f>
        <v>Improv: Goddess Mom Daughter Session</v>
      </c>
      <c r="D41" s="27" t="str">
        <f>IFERROR(__xludf.DUMMYFUNCTION("""COMPUTED_VALUE"""),"Dr. B hypnotizes her patient to prove to him that I not only can make the most taboo appear real, but I am his true Goddess of perversion. ")</f>
        <v>Dr. B hypnotizes her patient to prove to him that I not only can make the most taboo appear real, but I am his true Goddess of perversion. </v>
      </c>
      <c r="E41" s="27" t="str">
        <f>IFERROR(__xludf.DUMMYFUNCTION("""COMPUTED_VALUE"""),"hypnosis, pervert encouragement, forced incest, breeding, noncon")</f>
        <v>hypnosis, pervert encouragement, forced incest, breeding, noncon</v>
      </c>
    </row>
    <row r="42">
      <c r="A42" s="52">
        <f>IFERROR(__xludf.DUMMYFUNCTION("""COMPUTED_VALUE"""),565.0)</f>
        <v>565</v>
      </c>
      <c r="B42" s="51">
        <f>IFERROR(__xludf.DUMMYFUNCTION("""COMPUTED_VALUE"""),45374.0)</f>
        <v>45374</v>
      </c>
      <c r="C42" s="27" t="str">
        <f>IFERROR(__xludf.DUMMYFUNCTION("""COMPUTED_VALUE"""),"Improv: DDlg Hypnotherapy Session")</f>
        <v>Improv: DDlg Hypnotherapy Session</v>
      </c>
      <c r="D42" s="27" t="str">
        <f>IFERROR(__xludf.DUMMYFUNCTION("""COMPUTED_VALUE"""),"Dr. Bea brings you and your daughter in to her office so help hypnotize her into being the best girl for her daddy. ")</f>
        <v>Dr. Bea brings you and your daughter in to her office so help hypnotize her into being the best girl for her daddy. </v>
      </c>
      <c r="E42" s="27" t="str">
        <f>IFERROR(__xludf.DUMMYFUNCTION("""COMPUTED_VALUE"""),"DDlg, accomplice, hypnosis, incest")</f>
        <v>DDlg, accomplice, hypnosis, incest</v>
      </c>
    </row>
    <row r="43">
      <c r="A43" s="52">
        <f>IFERROR(__xludf.DUMMYFUNCTION("""COMPUTED_VALUE"""),567.0)</f>
        <v>567</v>
      </c>
      <c r="B43" s="51">
        <f>IFERROR(__xludf.DUMMYFUNCTION("""COMPUTED_VALUE"""),45376.0)</f>
        <v>45376</v>
      </c>
      <c r="C43" s="27" t="str">
        <f>IFERROR(__xludf.DUMMYFUNCTION("""COMPUTED_VALUE"""),"Custom: Perv Gooning Company (lg)")</f>
        <v>Custom: Perv Gooning Company (lg)</v>
      </c>
      <c r="D43" s="27" t="str">
        <f>IFERROR(__xludf.DUMMYFUNCTION("""COMPUTED_VALUE"""),"A file to accompany you through deep perv gooning. ")</f>
        <v>A file to accompany you through deep perv gooning. </v>
      </c>
      <c r="E43" s="27" t="str">
        <f>IFERROR(__xludf.DUMMYFUNCTION("""COMPUTED_VALUE"""),"hypnotic, binaural, pervert encouragement, poppers, ASMR, goon encouragement")</f>
        <v>hypnotic, binaural, pervert encouragement, poppers, ASMR, goon encouragement</v>
      </c>
    </row>
    <row r="44">
      <c r="A44" s="52">
        <f>IFERROR(__xludf.DUMMYFUNCTION("""COMPUTED_VALUE"""),568.0)</f>
        <v>568</v>
      </c>
      <c r="B44" s="51">
        <f>IFERROR(__xludf.DUMMYFUNCTION("""COMPUTED_VALUE"""),45376.0)</f>
        <v>45376</v>
      </c>
      <c r="C44" s="27" t="str">
        <f>IFERROR(__xludf.DUMMYFUNCTION("""COMPUTED_VALUE"""),"Custom: Perv Gooning Company (lb)")</f>
        <v>Custom: Perv Gooning Company (lb)</v>
      </c>
      <c r="D44" s="27" t="str">
        <f>IFERROR(__xludf.DUMMYFUNCTION("""COMPUTED_VALUE"""),"A file to accompany you through deep perv gooning. ")</f>
        <v>A file to accompany you through deep perv gooning. </v>
      </c>
      <c r="E44" s="27" t="str">
        <f>IFERROR(__xludf.DUMMYFUNCTION("""COMPUTED_VALUE"""),"hypnotic, binaural, pervert encouragement, poppers, ASMR, goon encouragement, bi encouragement, f slur")</f>
        <v>hypnotic, binaural, pervert encouragement, poppers, ASMR, goon encouragement, bi encouragement, f slur</v>
      </c>
    </row>
    <row r="45">
      <c r="A45" s="52">
        <f>IFERROR(__xludf.DUMMYFUNCTION("""COMPUTED_VALUE"""),570.0)</f>
        <v>570</v>
      </c>
      <c r="B45" s="51">
        <f>IFERROR(__xludf.DUMMYFUNCTION("""COMPUTED_VALUE"""),45377.0)</f>
        <v>45377</v>
      </c>
      <c r="C45" s="27" t="str">
        <f>IFERROR(__xludf.DUMMYFUNCTION("""COMPUTED_VALUE"""),"Improv: Encouraged Bi Perv Gooning")</f>
        <v>Improv: Encouraged Bi Perv Gooning</v>
      </c>
      <c r="D45" s="27" t="str">
        <f>IFERROR(__xludf.DUMMYFUNCTION("""COMPUTED_VALUE"""),"Hypnotic file encouraging you to goon to lb")</f>
        <v>Hypnotic file encouraging you to goon to lb</v>
      </c>
      <c r="E45" s="27" t="str">
        <f>IFERROR(__xludf.DUMMYFUNCTION("""COMPUTED_VALUE"""),"hypnotic, binaural, pervert encouragement, poppers, ASMR, goon encouragement, bi encouragement, f slur")</f>
        <v>hypnotic, binaural, pervert encouragement, poppers, ASMR, goon encouragement, bi encouragement, f slur</v>
      </c>
    </row>
    <row r="46">
      <c r="A46" s="52">
        <f>IFERROR(__xludf.DUMMYFUNCTION("""COMPUTED_VALUE"""),573.0)</f>
        <v>573</v>
      </c>
      <c r="B46" s="51">
        <f>IFERROR(__xludf.DUMMYFUNCTION("""COMPUTED_VALUE"""),45385.0)</f>
        <v>45385</v>
      </c>
      <c r="C46" s="27" t="str">
        <f>IFERROR(__xludf.DUMMYFUNCTION("""COMPUTED_VALUE"""),"Custom: Hypno Mommy Part 2")</f>
        <v>Custom: Hypno Mommy Part 2</v>
      </c>
      <c r="D46" s="27" t="str">
        <f>IFERROR(__xludf.DUMMYFUNCTION("""COMPUTED_VALUE"""),"Another slow burn with Mommy. See the timeline for part 1.
In part 1, our Mommy character struggles with feelings of arousal and desire after putting her son into trance for innocent reasons. Her taboo hunger gets the better of her. 
Part 2 is no differ"&amp;"ent. Our Mommy character feels conflicted and is talked into giving another session to help aid in the listener's self improvement journey. What happens in trance...well, stays in trance. Again.")</f>
        <v>Another slow burn with Mommy. See the timeline for part 1.
In part 1, our Mommy character struggles with feelings of arousal and desire after putting her son into trance for innocent reasons. Her taboo hunger gets the better of her. 
Part 2 is no different. Our Mommy character feels conflicted and is talked into giving another session to help aid in the listener's self improvement journey. What happens in trance...well, stays in trance. Again.</v>
      </c>
      <c r="E46" s="27" t="str">
        <f>IFERROR(__xludf.DUMMYFUNCTION("""COMPUTED_VALUE"""),"no ap, incest, cnc, hypnosis, breeding, MDlb")</f>
        <v>no ap, incest, cnc, hypnosis, breeding, MDlb</v>
      </c>
    </row>
    <row r="47">
      <c r="A47" s="52">
        <f>IFERROR(__xludf.DUMMYFUNCTION("""COMPUTED_VALUE"""),581.0)</f>
        <v>581</v>
      </c>
      <c r="B47" s="51">
        <f>IFERROR(__xludf.DUMMYFUNCTION("""COMPUTED_VALUE"""),45391.0)</f>
        <v>45391</v>
      </c>
      <c r="C47" s="27" t="str">
        <f>IFERROR(__xludf.DUMMYFUNCTION("""COMPUTED_VALUE"""),"Improv: Intoxicated Enslavement")</f>
        <v>Improv: Intoxicated Enslavement</v>
      </c>
      <c r="D47" s="27" t="str">
        <f>IFERROR(__xludf.DUMMYFUNCTION("""COMPUTED_VALUE"""),"I’m your Mistress and keep you drug addicted and fed with filth so you’ll always be mine. ")</f>
        <v>I’m your Mistress and keep you drug addicted and fed with filth so you’ll always be mine. </v>
      </c>
      <c r="E47" s="27" t="str">
        <f>IFERROR(__xludf.DUMMYFUNCTION("""COMPUTED_VALUE"""),"drug addiction, corruption, mistress/slave, hypnotic")</f>
        <v>drug addiction, corruption, mistress/slave, hypnotic</v>
      </c>
    </row>
    <row r="48">
      <c r="A48" s="52">
        <f>IFERROR(__xludf.DUMMYFUNCTION("""COMPUTED_VALUE"""),583.0)</f>
        <v>583</v>
      </c>
      <c r="B48" s="51">
        <f>IFERROR(__xludf.DUMMYFUNCTION("""COMPUTED_VALUE"""),45394.0)</f>
        <v>45394</v>
      </c>
      <c r="C48" s="27" t="str">
        <f>IFERROR(__xludf.DUMMYFUNCTION("""COMPUTED_VALUE"""),"Perv Fag JOI")</f>
        <v>Perv Fag JOI</v>
      </c>
      <c r="D48" s="27" t="str">
        <f>IFERROR(__xludf.DUMMYFUNCTION("""COMPUTED_VALUE"""),"Hypnotic JOI dirty talk about gay boy stuff. ")</f>
        <v>Hypnotic JOI dirty talk about gay boy stuff. </v>
      </c>
      <c r="E48" s="27" t="str">
        <f>IFERROR(__xludf.DUMMYFUNCTION("""COMPUTED_VALUE"""),"man/lb, hypnotic, JOI, forced and encouraged bi")</f>
        <v>man/lb, hypnotic, JOI, forced and encouraged bi</v>
      </c>
    </row>
    <row r="49">
      <c r="A49" s="52">
        <f>IFERROR(__xludf.DUMMYFUNCTION("""COMPUTED_VALUE"""),605.0)</f>
        <v>605</v>
      </c>
      <c r="B49" s="51">
        <f>IFERROR(__xludf.DUMMYFUNCTION("""COMPUTED_VALUE"""),45422.0)</f>
        <v>45422</v>
      </c>
      <c r="C49" s="27" t="str">
        <f>IFERROR(__xludf.DUMMYFUNCTION("""COMPUTED_VALUE"""),"Make Love to Mommy (In Trance)")</f>
        <v>Make Love to Mommy (In Trance)</v>
      </c>
      <c r="D49" s="27" t="str">
        <f>IFERROR(__xludf.DUMMYFUNCTION("""COMPUTED_VALUE"""),"A sensual Mommy Domme roleplay where I put you into trance and suggest we have sex for the first time")</f>
        <v>A sensual Mommy Domme roleplay where I put you into trance and suggest we have sex for the first time</v>
      </c>
      <c r="E49" s="27" t="str">
        <f>IFERROR(__xludf.DUMMYFUNCTION("""COMPUTED_VALUE"""),"implied ap, MDlb, incest, creampie, hypno")</f>
        <v>implied ap, MDlb, incest, creampie, hypno</v>
      </c>
    </row>
    <row r="50">
      <c r="A50" s="52">
        <f>IFERROR(__xludf.DUMMYFUNCTION("""COMPUTED_VALUE"""),623.0)</f>
        <v>623</v>
      </c>
      <c r="B50" s="51">
        <f>IFERROR(__xludf.DUMMYFUNCTION("""COMPUTED_VALUE"""),45455.0)</f>
        <v>45455</v>
      </c>
      <c r="C50" s="27" t="str">
        <f>IFERROR(__xludf.DUMMYFUNCTION("""COMPUTED_VALUE"""),"Perverted Mind Control")</f>
        <v>Perverted Mind Control</v>
      </c>
      <c r="D50" s="27" t="str">
        <f>IFERROR(__xludf.DUMMYFUNCTION("""COMPUTED_VALUE"""),"Patient 64 receives a file from me to help condition his mind to look at females in a different light. ")</f>
        <v>Patient 64 receives a file from me to help condition his mind to look at females in a different light. </v>
      </c>
      <c r="E50" s="27" t="str">
        <f>IFERROR(__xludf.DUMMYFUNCTION("""COMPUTED_VALUE"""),"hypnotic, brainwash, pervert encouragement, misogyny, accomplice")</f>
        <v>hypnotic, brainwash, pervert encouragement, misogyny, accomplice</v>
      </c>
    </row>
    <row r="51">
      <c r="A51" s="52">
        <f>IFERROR(__xludf.DUMMYFUNCTION("""COMPUTED_VALUE"""),629.0)</f>
        <v>629</v>
      </c>
      <c r="B51" s="51">
        <f>IFERROR(__xludf.DUMMYFUNCTION("""COMPUTED_VALUE"""),45463.0)</f>
        <v>45463</v>
      </c>
      <c r="C51" s="27" t="str">
        <f>IFERROR(__xludf.DUMMYFUNCTION("""COMPUTED_VALUE"""),"Homo PMC Treatment")</f>
        <v>Homo PMC Treatment</v>
      </c>
      <c r="D51" s="27" t="str">
        <f>IFERROR(__xludf.DUMMYFUNCTION("""COMPUTED_VALUE"""),"Patient 472 has its first brainwashing and deepening session at the PMC")</f>
        <v>Patient 472 has its first brainwashing and deepening session at the PMC</v>
      </c>
      <c r="E51" s="27" t="str">
        <f>IFERROR(__xludf.DUMMYFUNCTION("""COMPUTED_VALUE"""),"encouraged male gay, hypnotic, sodomy, anal, noncon, psychological mindfuck")</f>
        <v>encouraged male gay, hypnotic, sodomy, anal, noncon, psychological mindfuck</v>
      </c>
    </row>
    <row r="52">
      <c r="A52" s="52">
        <f>IFERROR(__xludf.DUMMYFUNCTION("""COMPUTED_VALUE"""),652.0)</f>
        <v>652</v>
      </c>
      <c r="B52" s="51">
        <f>IFERROR(__xludf.DUMMYFUNCTION("""COMPUTED_VALUE"""),45510.0)</f>
        <v>45510</v>
      </c>
      <c r="C52" s="27" t="str">
        <f>IFERROR(__xludf.DUMMYFUNCTION("""COMPUTED_VALUE"""),"Trippy &amp; Perverted Club Experience")</f>
        <v>Trippy &amp; Perverted Club Experience</v>
      </c>
      <c r="D52" s="27" t="str">
        <f>IFERROR(__xludf.DUMMYFUNCTION("""COMPUTED_VALUE"""),"A father visits a hypno club for the first time and I grab hold of him and send him into a drug induced dive into depravity. ")</f>
        <v>A father visits a hypno club for the first time and I grab hold of him and send him into a drug induced dive into depravity. </v>
      </c>
      <c r="E52" s="27" t="str">
        <f>IFERROR(__xludf.DUMMYFUNCTION("""COMPUTED_VALUE"""),"hypno, DDlg, accomplice, incest, femdom")</f>
        <v>hypno, DDlg, accomplice, incest, femdom</v>
      </c>
    </row>
    <row r="53">
      <c r="A53" s="52">
        <f>IFERROR(__xludf.DUMMYFUNCTION("""COMPUTED_VALUE"""),653.0)</f>
        <v>653</v>
      </c>
      <c r="B53" s="51">
        <f>IFERROR(__xludf.DUMMYFUNCTION("""COMPUTED_VALUE"""),45513.0)</f>
        <v>45513</v>
      </c>
      <c r="C53" s="27" t="str">
        <f>IFERROR(__xludf.DUMMYFUNCTION("""COMPUTED_VALUE"""),"Encouraged Bi Popper Pervert JOI")</f>
        <v>Encouraged Bi Popper Pervert JOI</v>
      </c>
      <c r="D53" s="27" t="str">
        <f>IFERROR(__xludf.DUMMYFUNCTION("""COMPUTED_VALUE"""),"Hypnotic file encouraging you to goon to lb and sniff poppers.")</f>
        <v>Hypnotic file encouraging you to goon to lb and sniff poppers.</v>
      </c>
      <c r="E53" s="27" t="str">
        <f>IFERROR(__xludf.DUMMYFUNCTION("""COMPUTED_VALUE"""),"hypno, encouraged bi, JOI. femdom, intox, poppers")</f>
        <v>hypno, encouraged bi, JOI. femdom, intox, poppers</v>
      </c>
    </row>
    <row r="54">
      <c r="A54" s="52">
        <f>IFERROR(__xludf.DUMMYFUNCTION("""COMPUTED_VALUE"""),661.0)</f>
        <v>661</v>
      </c>
      <c r="B54" s="51">
        <f>IFERROR(__xludf.DUMMYFUNCTION("""COMPUTED_VALUE"""),45528.0)</f>
        <v>45528</v>
      </c>
      <c r="C54" s="27" t="str">
        <f>IFERROR(__xludf.DUMMYFUNCTION("""COMPUTED_VALUE"""),"Pervert Mistress Brainwash")</f>
        <v>Pervert Mistress Brainwash</v>
      </c>
      <c r="D54" s="27" t="str">
        <f>IFERROR(__xludf.DUMMYFUNCTION("""COMPUTED_VALUE"""),"I want the listener to prove their devotion to me as a slave, pumped with corruption, dark porn, and encouraged bi. ")</f>
        <v>I want the listener to prove their devotion to me as a slave, pumped with corruption, dark porn, and encouraged bi. </v>
      </c>
      <c r="E54" s="27" t="str">
        <f>IFERROR(__xludf.DUMMYFUNCTION("""COMPUTED_VALUE"""),"hypno, encouraged bi, corruption, mistress/slave, gooning, pervert encouragement, edging")</f>
        <v>hypno, encouraged bi, corruption, mistress/slave, gooning, pervert encouragement, edging</v>
      </c>
    </row>
    <row r="55">
      <c r="A55" s="52">
        <f>IFERROR(__xludf.DUMMYFUNCTION("""COMPUTED_VALUE"""),663.0)</f>
        <v>663</v>
      </c>
      <c r="B55" s="51">
        <f>IFERROR(__xludf.DUMMYFUNCTION("""COMPUTED_VALUE"""),45533.0)</f>
        <v>45533</v>
      </c>
      <c r="C55" s="27" t="str">
        <f>IFERROR(__xludf.DUMMYFUNCTION("""COMPUTED_VALUE"""),"Do It or Else")</f>
        <v>Do It or Else</v>
      </c>
      <c r="D55" s="27" t="str">
        <f>IFERROR(__xludf.DUMMYFUNCTION("""COMPUTED_VALUE"""),"Hypnotic file from a perv mistress to her perv slave. ")</f>
        <v>Hypnotic file from a perv mistress to her perv slave. </v>
      </c>
      <c r="E55" s="27" t="str">
        <f>IFERROR(__xludf.DUMMYFUNCTION("""COMPUTED_VALUE"""),"hypno, blackmail, encouraged bi, corruption, binaural")</f>
        <v>hypno, blackmail, encouraged bi, corruption, binaural</v>
      </c>
    </row>
    <row r="56">
      <c r="A56" s="52">
        <f>IFERROR(__xludf.DUMMYFUNCTION("""COMPUTED_VALUE"""),671.0)</f>
        <v>671</v>
      </c>
      <c r="B56" s="51">
        <f>IFERROR(__xludf.DUMMYFUNCTION("""COMPUTED_VALUE"""),45547.0)</f>
        <v>45547</v>
      </c>
      <c r="C56" s="27" t="str">
        <f>IFERROR(__xludf.DUMMYFUNCTION("""COMPUTED_VALUE"""),"Taboo Porn Hypnotic Encouragement")</f>
        <v>Taboo Porn Hypnotic Encouragement</v>
      </c>
      <c r="D56" s="27" t="str">
        <f>IFERROR(__xludf.DUMMYFUNCTION("""COMPUTED_VALUE"""),"Hypnotic audio file all about encouraging you to pump and cum to taboo porn. ")</f>
        <v>Hypnotic audio file all about encouraging you to pump and cum to taboo porn. </v>
      </c>
      <c r="E56" s="27" t="str">
        <f>IFERROR(__xludf.DUMMYFUNCTION("""COMPUTED_VALUE"""),"pervert encouragement, hypno, uncle/niece, porn")</f>
        <v>pervert encouragement, hypno, uncle/niece, porn</v>
      </c>
    </row>
    <row r="57">
      <c r="A57" s="52">
        <f>IFERROR(__xludf.DUMMYFUNCTION("""COMPUTED_VALUE"""),678.0)</f>
        <v>678</v>
      </c>
      <c r="B57" s="51">
        <f>IFERROR(__xludf.DUMMYFUNCTION("""COMPUTED_VALUE"""),45559.0)</f>
        <v>45559</v>
      </c>
      <c r="C57" s="27" t="str">
        <f>IFERROR(__xludf.DUMMYFUNCTION("""COMPUTED_VALUE"""),"Pervert Encouraging Wife Hypno")</f>
        <v>Pervert Encouraging Wife Hypno</v>
      </c>
      <c r="D57" s="27" t="str">
        <f>IFERROR(__xludf.DUMMYFUNCTION("""COMPUTED_VALUE"""),"Filthy, enabling wife hypnotically encourages utter depravity. ")</f>
        <v>Filthy, enabling wife hypnotically encourages utter depravity. </v>
      </c>
      <c r="E57" s="27" t="str">
        <f>IFERROR(__xludf.DUMMYFUNCTION("""COMPUTED_VALUE"""),"hypno, sfx, binaural, pervert encouragement, perv gooning, aheago face sounds, pervy wife experience, extreme ap")</f>
        <v>hypno, sfx, binaural, pervert encouragement, perv gooning, aheago face sounds, pervy wife experience, extreme ap</v>
      </c>
    </row>
    <row r="58">
      <c r="A58" s="52"/>
      <c r="B58" s="52"/>
      <c r="C58" s="27"/>
      <c r="D58" s="27"/>
      <c r="E58" s="27"/>
    </row>
    <row r="59">
      <c r="A59" s="52"/>
      <c r="B59" s="52"/>
      <c r="C59" s="27"/>
      <c r="D59" s="27"/>
      <c r="E59" s="27"/>
    </row>
    <row r="60">
      <c r="A60" s="52"/>
      <c r="B60" s="52"/>
      <c r="C60" s="27"/>
      <c r="D60" s="27"/>
      <c r="E60" s="27"/>
    </row>
    <row r="61">
      <c r="A61" s="52"/>
      <c r="B61" s="52"/>
      <c r="C61" s="27"/>
      <c r="D61" s="27"/>
      <c r="E61" s="27"/>
    </row>
    <row r="62">
      <c r="A62" s="52"/>
      <c r="B62" s="52"/>
      <c r="C62" s="27"/>
      <c r="D62" s="27"/>
      <c r="E62" s="27"/>
    </row>
    <row r="63">
      <c r="A63" s="52"/>
      <c r="B63" s="52"/>
      <c r="C63" s="27"/>
      <c r="D63" s="27"/>
      <c r="E63" s="27"/>
    </row>
    <row r="64">
      <c r="A64" s="52"/>
      <c r="B64" s="52"/>
      <c r="C64" s="27"/>
      <c r="D64" s="27"/>
      <c r="E64" s="27"/>
    </row>
    <row r="65">
      <c r="A65" s="52"/>
      <c r="B65" s="52"/>
      <c r="C65" s="27"/>
      <c r="D65" s="27"/>
      <c r="E65" s="27"/>
    </row>
    <row r="66">
      <c r="A66" s="52"/>
      <c r="B66" s="52"/>
      <c r="C66" s="27"/>
      <c r="D66" s="27"/>
      <c r="E66" s="27"/>
    </row>
    <row r="67">
      <c r="A67" s="52"/>
      <c r="B67" s="52"/>
      <c r="C67" s="27"/>
      <c r="D67" s="27"/>
      <c r="E67" s="27"/>
    </row>
    <row r="68">
      <c r="A68" s="52"/>
      <c r="B68" s="52"/>
      <c r="C68" s="27"/>
      <c r="D68" s="27"/>
      <c r="E68" s="27"/>
    </row>
    <row r="69">
      <c r="A69" s="52"/>
      <c r="B69" s="52"/>
      <c r="C69" s="27"/>
      <c r="D69" s="27"/>
      <c r="E69" s="27"/>
    </row>
    <row r="70">
      <c r="A70" s="52"/>
      <c r="B70" s="52"/>
      <c r="C70" s="27"/>
      <c r="D70" s="27"/>
      <c r="E70" s="27"/>
    </row>
    <row r="71">
      <c r="A71" s="52"/>
      <c r="B71" s="52"/>
      <c r="C71" s="27"/>
      <c r="D71" s="27"/>
      <c r="E71" s="27"/>
    </row>
    <row r="72">
      <c r="A72" s="52"/>
      <c r="B72" s="52"/>
      <c r="C72" s="27"/>
      <c r="D72" s="27"/>
      <c r="E72" s="27"/>
    </row>
    <row r="73">
      <c r="A73" s="52"/>
      <c r="B73" s="52"/>
      <c r="C73" s="27"/>
      <c r="D73" s="27"/>
      <c r="E73" s="27"/>
    </row>
    <row r="74">
      <c r="A74" s="52"/>
      <c r="B74" s="52"/>
      <c r="C74" s="27"/>
      <c r="D74" s="27"/>
      <c r="E74" s="27"/>
    </row>
    <row r="75">
      <c r="A75" s="52"/>
      <c r="B75" s="52"/>
      <c r="C75" s="27"/>
      <c r="D75" s="27"/>
      <c r="E75" s="27"/>
    </row>
    <row r="76">
      <c r="A76" s="52"/>
      <c r="B76" s="52"/>
      <c r="C76" s="27"/>
      <c r="D76" s="27"/>
      <c r="E76" s="27"/>
    </row>
    <row r="77">
      <c r="A77" s="52"/>
      <c r="B77" s="52"/>
      <c r="C77" s="27"/>
      <c r="D77" s="27"/>
      <c r="E77" s="27"/>
    </row>
    <row r="78">
      <c r="A78" s="52"/>
      <c r="B78" s="52"/>
      <c r="C78" s="27"/>
      <c r="D78" s="27"/>
      <c r="E78" s="27"/>
    </row>
    <row r="79">
      <c r="A79" s="52"/>
      <c r="B79" s="52"/>
      <c r="C79" s="27"/>
      <c r="D79" s="27"/>
      <c r="E79" s="27"/>
    </row>
    <row r="80">
      <c r="A80" s="52"/>
      <c r="B80" s="52"/>
      <c r="C80" s="27"/>
      <c r="D80" s="27"/>
      <c r="E80" s="27"/>
    </row>
    <row r="81">
      <c r="A81" s="52"/>
      <c r="B81" s="52"/>
      <c r="C81" s="27"/>
      <c r="D81" s="27"/>
      <c r="E81" s="27"/>
    </row>
    <row r="82">
      <c r="A82" s="52"/>
      <c r="B82" s="52"/>
      <c r="C82" s="27"/>
      <c r="D82" s="27"/>
      <c r="E82" s="27"/>
    </row>
    <row r="83">
      <c r="A83" s="52"/>
      <c r="B83" s="52"/>
      <c r="C83" s="27"/>
      <c r="D83" s="27"/>
      <c r="E83" s="27"/>
    </row>
    <row r="84">
      <c r="A84" s="52"/>
      <c r="B84" s="52"/>
      <c r="C84" s="27"/>
      <c r="D84" s="27"/>
      <c r="E84" s="27"/>
    </row>
    <row r="85">
      <c r="A85" s="52"/>
      <c r="B85" s="52"/>
      <c r="C85" s="27"/>
      <c r="D85" s="27"/>
      <c r="E85" s="27"/>
    </row>
    <row r="86">
      <c r="A86" s="52"/>
      <c r="B86" s="52"/>
      <c r="C86" s="27"/>
      <c r="D86" s="27"/>
      <c r="E86" s="27"/>
    </row>
    <row r="87">
      <c r="A87" s="52"/>
      <c r="B87" s="52"/>
      <c r="C87" s="27"/>
      <c r="D87" s="27"/>
      <c r="E87" s="27"/>
    </row>
    <row r="88">
      <c r="A88" s="52"/>
      <c r="B88" s="52"/>
      <c r="C88" s="27"/>
      <c r="D88" s="27"/>
      <c r="E88" s="27"/>
    </row>
    <row r="89">
      <c r="A89" s="52"/>
      <c r="B89" s="52"/>
      <c r="C89" s="27"/>
      <c r="D89" s="27"/>
      <c r="E89" s="27"/>
    </row>
    <row r="90">
      <c r="A90" s="52"/>
      <c r="B90" s="52"/>
      <c r="C90" s="27"/>
      <c r="D90" s="27"/>
      <c r="E90" s="27"/>
    </row>
    <row r="91">
      <c r="A91" s="52"/>
      <c r="B91" s="52"/>
      <c r="C91" s="27"/>
      <c r="D91" s="27"/>
      <c r="E91" s="27"/>
    </row>
    <row r="92">
      <c r="A92" s="52"/>
      <c r="B92" s="52"/>
      <c r="C92" s="27"/>
      <c r="D92" s="27"/>
      <c r="E92" s="27"/>
    </row>
    <row r="93">
      <c r="A93" s="52"/>
      <c r="B93" s="52"/>
      <c r="C93" s="27"/>
      <c r="D93" s="27"/>
      <c r="E93" s="27"/>
    </row>
    <row r="94">
      <c r="A94" s="52"/>
      <c r="B94" s="52"/>
      <c r="C94" s="27"/>
      <c r="D94" s="27"/>
      <c r="E94" s="27"/>
    </row>
    <row r="95">
      <c r="A95" s="52"/>
      <c r="B95" s="52"/>
      <c r="C95" s="27"/>
      <c r="D95" s="27"/>
      <c r="E95" s="27"/>
    </row>
    <row r="96">
      <c r="A96" s="52"/>
      <c r="B96" s="52"/>
      <c r="C96" s="27"/>
      <c r="D96" s="27"/>
      <c r="E96" s="27"/>
    </row>
    <row r="97">
      <c r="A97" s="52"/>
      <c r="B97" s="52"/>
      <c r="C97" s="27"/>
      <c r="D97" s="27"/>
      <c r="E97" s="27"/>
    </row>
    <row r="98">
      <c r="A98" s="52"/>
      <c r="B98" s="52"/>
      <c r="C98" s="27"/>
      <c r="D98" s="27"/>
      <c r="E98" s="27"/>
    </row>
    <row r="99">
      <c r="A99" s="52"/>
      <c r="B99" s="52"/>
      <c r="C99" s="27"/>
      <c r="D99" s="27"/>
      <c r="E99" s="27"/>
    </row>
    <row r="100">
      <c r="A100" s="52"/>
      <c r="B100" s="52"/>
      <c r="C100" s="27"/>
      <c r="D100" s="27"/>
      <c r="E100" s="27"/>
    </row>
    <row r="101">
      <c r="A101" s="52"/>
      <c r="B101" s="52"/>
      <c r="C101" s="27"/>
      <c r="D101" s="27"/>
      <c r="E101" s="27"/>
    </row>
    <row r="102">
      <c r="A102" s="52"/>
      <c r="B102" s="52"/>
      <c r="C102" s="27"/>
      <c r="D102" s="27"/>
      <c r="E102" s="27"/>
    </row>
    <row r="103">
      <c r="A103" s="52"/>
      <c r="B103" s="52"/>
      <c r="C103" s="27"/>
      <c r="D103" s="27"/>
      <c r="E103" s="27"/>
    </row>
    <row r="104">
      <c r="A104" s="52"/>
      <c r="B104" s="52"/>
      <c r="C104" s="27"/>
      <c r="D104" s="27"/>
      <c r="E104" s="27"/>
    </row>
    <row r="105">
      <c r="A105" s="52"/>
      <c r="B105" s="52"/>
      <c r="C105" s="27"/>
      <c r="D105" s="27"/>
      <c r="E105" s="27"/>
    </row>
    <row r="106">
      <c r="A106" s="52"/>
      <c r="B106" s="52"/>
      <c r="C106" s="27"/>
      <c r="D106" s="27"/>
      <c r="E106" s="27"/>
    </row>
    <row r="107">
      <c r="A107" s="52"/>
      <c r="B107" s="52"/>
      <c r="C107" s="27"/>
      <c r="D107" s="27"/>
      <c r="E107" s="27"/>
    </row>
    <row r="108">
      <c r="A108" s="52"/>
      <c r="B108" s="52"/>
      <c r="C108" s="27"/>
      <c r="D108" s="27"/>
      <c r="E108" s="27"/>
    </row>
    <row r="109">
      <c r="A109" s="52"/>
      <c r="B109" s="52"/>
      <c r="C109" s="27"/>
      <c r="D109" s="27"/>
      <c r="E109" s="27"/>
    </row>
    <row r="110">
      <c r="A110" s="52"/>
      <c r="B110" s="52"/>
      <c r="C110" s="27"/>
      <c r="D110" s="27"/>
      <c r="E110" s="27"/>
    </row>
    <row r="111">
      <c r="A111" s="52"/>
      <c r="B111" s="52"/>
      <c r="C111" s="27"/>
      <c r="D111" s="27"/>
      <c r="E111" s="27"/>
    </row>
    <row r="112">
      <c r="A112" s="52"/>
      <c r="B112" s="52"/>
      <c r="C112" s="27"/>
      <c r="D112" s="27"/>
      <c r="E112" s="27"/>
    </row>
    <row r="113">
      <c r="A113" s="52"/>
      <c r="B113" s="52"/>
      <c r="C113" s="27"/>
      <c r="D113" s="27"/>
      <c r="E113" s="27"/>
    </row>
    <row r="114">
      <c r="A114" s="52"/>
      <c r="B114" s="52"/>
      <c r="C114" s="27"/>
      <c r="D114" s="27"/>
      <c r="E114" s="27"/>
    </row>
    <row r="115">
      <c r="A115" s="52"/>
      <c r="B115" s="52"/>
      <c r="C115" s="27"/>
      <c r="D115" s="27"/>
      <c r="E115" s="27"/>
    </row>
    <row r="116">
      <c r="A116" s="52"/>
      <c r="B116" s="52"/>
      <c r="C116" s="27"/>
      <c r="D116" s="27"/>
      <c r="E116" s="27"/>
    </row>
    <row r="117">
      <c r="A117" s="52"/>
      <c r="B117" s="52"/>
      <c r="C117" s="27"/>
      <c r="D117" s="27"/>
      <c r="E117" s="27"/>
    </row>
    <row r="118">
      <c r="A118" s="52"/>
      <c r="B118" s="52"/>
      <c r="C118" s="27"/>
      <c r="D118" s="27"/>
      <c r="E118" s="27"/>
    </row>
    <row r="119">
      <c r="A119" s="52"/>
      <c r="B119" s="52"/>
      <c r="C119" s="27"/>
      <c r="D119" s="27"/>
      <c r="E119" s="27"/>
    </row>
    <row r="120">
      <c r="A120" s="52"/>
      <c r="B120" s="52"/>
      <c r="C120" s="27"/>
      <c r="D120" s="27"/>
      <c r="E120" s="27"/>
    </row>
    <row r="121">
      <c r="A121" s="52"/>
      <c r="B121" s="52"/>
      <c r="C121" s="27"/>
      <c r="D121" s="27"/>
      <c r="E121" s="27"/>
    </row>
    <row r="122">
      <c r="A122" s="52"/>
      <c r="B122" s="52"/>
      <c r="C122" s="27"/>
      <c r="D122" s="27"/>
      <c r="E122" s="27"/>
    </row>
    <row r="123">
      <c r="A123" s="52"/>
      <c r="B123" s="52"/>
      <c r="C123" s="27"/>
      <c r="D123" s="27"/>
      <c r="E123" s="27"/>
    </row>
    <row r="124">
      <c r="A124" s="52"/>
      <c r="B124" s="52"/>
      <c r="C124" s="27"/>
      <c r="D124" s="27"/>
      <c r="E124" s="27"/>
    </row>
    <row r="125">
      <c r="A125" s="52"/>
      <c r="B125" s="52"/>
      <c r="C125" s="27"/>
      <c r="D125" s="27"/>
      <c r="E125" s="27"/>
    </row>
    <row r="126">
      <c r="A126" s="52"/>
      <c r="B126" s="52"/>
      <c r="C126" s="27"/>
      <c r="D126" s="27"/>
      <c r="E126" s="27"/>
    </row>
    <row r="127">
      <c r="A127" s="52"/>
      <c r="B127" s="52"/>
      <c r="C127" s="27"/>
      <c r="D127" s="27"/>
      <c r="E127" s="27"/>
    </row>
    <row r="128">
      <c r="A128" s="52"/>
      <c r="B128" s="52"/>
      <c r="C128" s="27"/>
      <c r="D128" s="27"/>
      <c r="E128" s="27"/>
    </row>
    <row r="129">
      <c r="A129" s="52"/>
      <c r="B129" s="52"/>
      <c r="C129" s="27"/>
      <c r="D129" s="27"/>
      <c r="E129" s="27"/>
    </row>
    <row r="130">
      <c r="A130" s="52"/>
      <c r="B130" s="52"/>
      <c r="C130" s="27"/>
      <c r="D130" s="27"/>
      <c r="E130" s="27"/>
    </row>
    <row r="131">
      <c r="A131" s="52"/>
      <c r="B131" s="52"/>
      <c r="C131" s="27"/>
      <c r="D131" s="27"/>
      <c r="E131" s="27"/>
    </row>
    <row r="132">
      <c r="A132" s="52"/>
      <c r="B132" s="52"/>
      <c r="C132" s="27"/>
      <c r="D132" s="27"/>
      <c r="E132" s="27"/>
    </row>
    <row r="133">
      <c r="A133" s="52"/>
      <c r="B133" s="52"/>
      <c r="C133" s="27"/>
      <c r="D133" s="27"/>
      <c r="E133" s="27"/>
    </row>
    <row r="134">
      <c r="A134" s="52"/>
      <c r="B134" s="52"/>
      <c r="C134" s="27"/>
      <c r="D134" s="27"/>
      <c r="E134" s="27"/>
    </row>
    <row r="135">
      <c r="A135" s="52"/>
      <c r="B135" s="52"/>
      <c r="C135" s="27"/>
      <c r="D135" s="27"/>
      <c r="E135" s="27"/>
    </row>
    <row r="136">
      <c r="A136" s="52"/>
      <c r="B136" s="52"/>
      <c r="C136" s="27"/>
      <c r="D136" s="27"/>
      <c r="E136" s="27"/>
    </row>
    <row r="137">
      <c r="A137" s="52"/>
      <c r="B137" s="52"/>
      <c r="C137" s="27"/>
      <c r="D137" s="27"/>
      <c r="E137" s="27"/>
    </row>
    <row r="138">
      <c r="A138" s="52"/>
      <c r="B138" s="52"/>
      <c r="C138" s="27"/>
      <c r="D138" s="27"/>
      <c r="E138" s="27"/>
    </row>
    <row r="139">
      <c r="A139" s="52"/>
      <c r="B139" s="52"/>
      <c r="C139" s="27"/>
      <c r="D139" s="27"/>
      <c r="E139" s="27"/>
    </row>
    <row r="140">
      <c r="A140" s="52"/>
      <c r="B140" s="52"/>
      <c r="C140" s="27"/>
      <c r="D140" s="27"/>
      <c r="E140" s="27"/>
    </row>
    <row r="141">
      <c r="A141" s="52"/>
      <c r="B141" s="52"/>
      <c r="C141" s="27"/>
      <c r="D141" s="27"/>
      <c r="E141" s="27"/>
    </row>
    <row r="142">
      <c r="A142" s="52"/>
      <c r="B142" s="52"/>
      <c r="C142" s="27"/>
      <c r="D142" s="27"/>
      <c r="E142" s="27"/>
    </row>
    <row r="143">
      <c r="A143" s="52"/>
      <c r="B143" s="52"/>
      <c r="C143" s="27"/>
      <c r="D143" s="27"/>
      <c r="E143" s="27"/>
    </row>
    <row r="144">
      <c r="A144" s="52"/>
      <c r="B144" s="52"/>
      <c r="C144" s="27"/>
      <c r="D144" s="27"/>
      <c r="E144" s="27"/>
    </row>
    <row r="145">
      <c r="A145" s="52"/>
      <c r="B145" s="52"/>
      <c r="C145" s="27"/>
      <c r="D145" s="27"/>
      <c r="E145" s="27"/>
    </row>
    <row r="146">
      <c r="A146" s="52"/>
      <c r="B146" s="52"/>
      <c r="C146" s="27"/>
      <c r="D146" s="27"/>
      <c r="E146" s="27"/>
    </row>
    <row r="147">
      <c r="A147" s="52"/>
      <c r="B147" s="52"/>
      <c r="C147" s="27"/>
      <c r="D147" s="27"/>
      <c r="E147" s="27"/>
    </row>
    <row r="148">
      <c r="A148" s="52"/>
      <c r="B148" s="52"/>
      <c r="C148" s="27"/>
      <c r="D148" s="27"/>
      <c r="E148" s="27"/>
    </row>
    <row r="149">
      <c r="A149" s="52"/>
      <c r="B149" s="52"/>
      <c r="C149" s="27"/>
      <c r="D149" s="27"/>
      <c r="E149" s="27"/>
    </row>
    <row r="150">
      <c r="A150" s="52"/>
      <c r="B150" s="52"/>
      <c r="C150" s="27"/>
      <c r="D150" s="27"/>
      <c r="E150" s="27"/>
    </row>
    <row r="151">
      <c r="A151" s="52"/>
      <c r="B151" s="52"/>
      <c r="C151" s="27"/>
      <c r="D151" s="27"/>
      <c r="E151" s="27"/>
    </row>
    <row r="152">
      <c r="A152" s="52"/>
      <c r="B152" s="52"/>
      <c r="C152" s="27"/>
      <c r="D152" s="27"/>
      <c r="E152" s="27"/>
    </row>
    <row r="153">
      <c r="A153" s="52"/>
      <c r="B153" s="52"/>
      <c r="C153" s="27"/>
      <c r="D153" s="27"/>
      <c r="E153" s="27"/>
    </row>
    <row r="154">
      <c r="A154" s="52"/>
      <c r="B154" s="52"/>
      <c r="C154" s="27"/>
      <c r="D154" s="27"/>
      <c r="E154" s="27"/>
    </row>
    <row r="155">
      <c r="A155" s="52"/>
      <c r="B155" s="52"/>
      <c r="C155" s="27"/>
      <c r="D155" s="27"/>
      <c r="E155" s="27"/>
    </row>
    <row r="156">
      <c r="A156" s="52"/>
      <c r="B156" s="52"/>
      <c r="C156" s="27"/>
      <c r="D156" s="27"/>
      <c r="E156" s="27"/>
    </row>
    <row r="157">
      <c r="A157" s="52"/>
      <c r="B157" s="52"/>
      <c r="C157" s="27"/>
      <c r="D157" s="27"/>
      <c r="E157" s="27"/>
    </row>
    <row r="158">
      <c r="A158" s="52"/>
      <c r="B158" s="52"/>
      <c r="C158" s="27"/>
      <c r="D158" s="27"/>
      <c r="E158" s="27"/>
    </row>
    <row r="159">
      <c r="A159" s="52"/>
      <c r="B159" s="52"/>
      <c r="C159" s="27"/>
      <c r="D159" s="27"/>
      <c r="E159" s="27"/>
    </row>
    <row r="160">
      <c r="A160" s="52"/>
      <c r="B160" s="52"/>
      <c r="C160" s="27"/>
      <c r="D160" s="27"/>
      <c r="E160" s="27"/>
    </row>
    <row r="161">
      <c r="A161" s="52"/>
      <c r="B161" s="52"/>
      <c r="C161" s="27"/>
      <c r="D161" s="27"/>
      <c r="E161" s="27"/>
    </row>
    <row r="162">
      <c r="A162" s="52"/>
      <c r="B162" s="52"/>
      <c r="C162" s="27"/>
      <c r="D162" s="27"/>
      <c r="E162" s="27"/>
    </row>
    <row r="163">
      <c r="A163" s="52"/>
      <c r="B163" s="52"/>
      <c r="C163" s="27"/>
      <c r="D163" s="27"/>
      <c r="E163" s="27"/>
    </row>
    <row r="164">
      <c r="A164" s="52"/>
      <c r="B164" s="52"/>
      <c r="C164" s="27"/>
      <c r="D164" s="27"/>
      <c r="E164" s="27"/>
    </row>
    <row r="165">
      <c r="A165" s="52"/>
      <c r="B165" s="52"/>
      <c r="C165" s="27"/>
      <c r="D165" s="27"/>
      <c r="E165" s="27"/>
    </row>
    <row r="166">
      <c r="A166" s="52"/>
      <c r="B166" s="52"/>
      <c r="C166" s="27"/>
      <c r="D166" s="27"/>
      <c r="E166" s="27"/>
    </row>
    <row r="167">
      <c r="A167" s="52"/>
      <c r="B167" s="52"/>
      <c r="C167" s="27"/>
      <c r="D167" s="27"/>
      <c r="E167" s="27"/>
    </row>
    <row r="168">
      <c r="A168" s="52"/>
      <c r="B168" s="52"/>
      <c r="C168" s="27"/>
      <c r="D168" s="27"/>
      <c r="E168" s="27"/>
    </row>
    <row r="169">
      <c r="A169" s="52"/>
      <c r="B169" s="52"/>
      <c r="C169" s="27"/>
      <c r="D169" s="27"/>
      <c r="E169" s="27"/>
    </row>
    <row r="170">
      <c r="A170" s="52"/>
      <c r="B170" s="52"/>
      <c r="C170" s="27"/>
      <c r="D170" s="27"/>
      <c r="E170" s="27"/>
    </row>
    <row r="171">
      <c r="A171" s="52"/>
      <c r="B171" s="52"/>
      <c r="C171" s="27"/>
      <c r="D171" s="27"/>
      <c r="E171" s="27"/>
    </row>
    <row r="172">
      <c r="A172" s="52"/>
      <c r="B172" s="52"/>
      <c r="C172" s="27"/>
      <c r="D172" s="27"/>
      <c r="E172" s="27"/>
    </row>
    <row r="173">
      <c r="A173" s="52"/>
      <c r="B173" s="52"/>
      <c r="C173" s="27"/>
      <c r="D173" s="27"/>
      <c r="E173" s="27"/>
    </row>
    <row r="174">
      <c r="A174" s="52"/>
      <c r="B174" s="52"/>
      <c r="C174" s="27"/>
      <c r="D174" s="27"/>
      <c r="E174" s="27"/>
    </row>
    <row r="175">
      <c r="A175" s="52"/>
      <c r="B175" s="52"/>
      <c r="C175" s="27"/>
      <c r="D175" s="27"/>
      <c r="E175" s="27"/>
    </row>
    <row r="176">
      <c r="A176" s="52"/>
      <c r="B176" s="52"/>
      <c r="C176" s="27"/>
      <c r="D176" s="27"/>
      <c r="E176" s="27"/>
    </row>
    <row r="177">
      <c r="A177" s="52"/>
      <c r="B177" s="52"/>
      <c r="C177" s="27"/>
      <c r="D177" s="27"/>
      <c r="E177" s="27"/>
    </row>
    <row r="178">
      <c r="A178" s="52"/>
      <c r="B178" s="52"/>
      <c r="C178" s="27"/>
      <c r="D178" s="27"/>
      <c r="E178" s="27"/>
    </row>
    <row r="179">
      <c r="A179" s="52"/>
      <c r="B179" s="52"/>
      <c r="C179" s="27"/>
      <c r="D179" s="27"/>
      <c r="E179" s="27"/>
    </row>
    <row r="180">
      <c r="A180" s="52"/>
      <c r="B180" s="52"/>
      <c r="C180" s="27"/>
      <c r="D180" s="27"/>
      <c r="E180" s="27"/>
    </row>
    <row r="181">
      <c r="A181" s="52"/>
      <c r="B181" s="52"/>
      <c r="C181" s="27"/>
      <c r="D181" s="27"/>
      <c r="E181" s="27"/>
    </row>
    <row r="182">
      <c r="A182" s="52"/>
      <c r="B182" s="52"/>
      <c r="C182" s="27"/>
      <c r="D182" s="27"/>
      <c r="E182" s="27"/>
    </row>
    <row r="183">
      <c r="A183" s="52"/>
      <c r="B183" s="52"/>
      <c r="C183" s="27"/>
      <c r="D183" s="27"/>
      <c r="E183" s="27"/>
    </row>
    <row r="184">
      <c r="A184" s="52"/>
      <c r="B184" s="52"/>
      <c r="C184" s="27"/>
      <c r="D184" s="27"/>
      <c r="E184" s="27"/>
    </row>
    <row r="185">
      <c r="A185" s="52"/>
      <c r="B185" s="52"/>
      <c r="C185" s="27"/>
      <c r="D185" s="27"/>
      <c r="E185" s="27"/>
    </row>
    <row r="186">
      <c r="A186" s="52"/>
      <c r="B186" s="52"/>
      <c r="C186" s="27"/>
      <c r="D186" s="27"/>
      <c r="E186" s="27"/>
    </row>
    <row r="187">
      <c r="A187" s="52"/>
      <c r="B187" s="52"/>
      <c r="C187" s="27"/>
      <c r="D187" s="27"/>
      <c r="E187" s="27"/>
    </row>
    <row r="188">
      <c r="A188" s="52"/>
      <c r="B188" s="52"/>
      <c r="C188" s="27"/>
      <c r="D188" s="27"/>
      <c r="E188" s="27"/>
    </row>
    <row r="189">
      <c r="A189" s="52"/>
      <c r="B189" s="52"/>
      <c r="C189" s="27"/>
      <c r="D189" s="27"/>
      <c r="E189" s="27"/>
    </row>
    <row r="190">
      <c r="A190" s="52"/>
      <c r="B190" s="52"/>
      <c r="C190" s="27"/>
      <c r="D190" s="27"/>
      <c r="E190" s="27"/>
    </row>
    <row r="191">
      <c r="A191" s="52"/>
      <c r="B191" s="52"/>
      <c r="C191" s="27"/>
      <c r="D191" s="27"/>
      <c r="E191" s="27"/>
    </row>
    <row r="192">
      <c r="A192" s="52"/>
      <c r="B192" s="52"/>
      <c r="C192" s="27"/>
      <c r="D192" s="27"/>
      <c r="E192" s="27"/>
    </row>
    <row r="193">
      <c r="A193" s="52"/>
      <c r="B193" s="52"/>
      <c r="C193" s="27"/>
      <c r="D193" s="27"/>
      <c r="E193" s="27"/>
    </row>
    <row r="194">
      <c r="A194" s="52"/>
      <c r="B194" s="52"/>
      <c r="C194" s="27"/>
      <c r="D194" s="27"/>
      <c r="E194" s="27"/>
    </row>
    <row r="195">
      <c r="A195" s="52"/>
      <c r="B195" s="52"/>
      <c r="C195" s="27"/>
      <c r="D195" s="27"/>
      <c r="E195" s="27"/>
    </row>
    <row r="196">
      <c r="A196" s="52"/>
      <c r="B196" s="52"/>
      <c r="C196" s="27"/>
      <c r="D196" s="27"/>
      <c r="E196" s="27"/>
    </row>
    <row r="197">
      <c r="A197" s="52"/>
      <c r="B197" s="52"/>
      <c r="C197" s="27"/>
      <c r="D197" s="27"/>
      <c r="E197" s="27"/>
    </row>
    <row r="198">
      <c r="A198" s="52"/>
      <c r="B198" s="52"/>
      <c r="C198" s="27"/>
      <c r="D198" s="27"/>
      <c r="E198" s="27"/>
    </row>
    <row r="199">
      <c r="A199" s="52"/>
      <c r="B199" s="52"/>
      <c r="C199" s="27"/>
      <c r="D199" s="27"/>
      <c r="E199" s="27"/>
    </row>
    <row r="200">
      <c r="A200" s="52"/>
      <c r="B200" s="52"/>
      <c r="C200" s="27"/>
      <c r="D200" s="27"/>
      <c r="E200" s="27"/>
    </row>
    <row r="201">
      <c r="A201" s="52"/>
      <c r="B201" s="52"/>
      <c r="C201" s="27"/>
      <c r="D201" s="27"/>
      <c r="E201" s="27"/>
    </row>
    <row r="202">
      <c r="A202" s="52"/>
      <c r="B202" s="52"/>
      <c r="C202" s="27"/>
      <c r="D202" s="27"/>
      <c r="E202" s="27"/>
    </row>
    <row r="203">
      <c r="A203" s="52"/>
      <c r="B203" s="52"/>
      <c r="C203" s="27"/>
      <c r="D203" s="27"/>
      <c r="E203" s="27"/>
    </row>
    <row r="204">
      <c r="A204" s="52"/>
      <c r="B204" s="52"/>
      <c r="C204" s="27"/>
      <c r="D204" s="27"/>
      <c r="E204" s="27"/>
    </row>
    <row r="205">
      <c r="A205" s="52"/>
      <c r="B205" s="52"/>
      <c r="C205" s="27"/>
      <c r="D205" s="27"/>
      <c r="E205" s="27"/>
    </row>
    <row r="206">
      <c r="A206" s="52"/>
      <c r="B206" s="52"/>
      <c r="C206" s="27"/>
      <c r="D206" s="27"/>
      <c r="E206" s="27"/>
    </row>
    <row r="207">
      <c r="A207" s="52"/>
      <c r="B207" s="52"/>
      <c r="C207" s="27"/>
      <c r="D207" s="27"/>
      <c r="E207" s="27"/>
    </row>
    <row r="208">
      <c r="A208" s="52"/>
      <c r="B208" s="52"/>
      <c r="C208" s="27"/>
      <c r="D208" s="27"/>
      <c r="E208" s="27"/>
    </row>
    <row r="209">
      <c r="A209" s="52"/>
      <c r="B209" s="52"/>
      <c r="C209" s="27"/>
      <c r="D209" s="27"/>
      <c r="E209" s="27"/>
    </row>
    <row r="210">
      <c r="A210" s="52"/>
      <c r="B210" s="52"/>
      <c r="C210" s="27"/>
      <c r="D210" s="27"/>
      <c r="E210" s="27"/>
    </row>
    <row r="211">
      <c r="A211" s="52"/>
      <c r="B211" s="52"/>
      <c r="C211" s="27"/>
      <c r="D211" s="27"/>
      <c r="E211" s="27"/>
    </row>
    <row r="212">
      <c r="A212" s="52"/>
      <c r="B212" s="52"/>
      <c r="C212" s="27"/>
      <c r="D212" s="27"/>
      <c r="E212" s="27"/>
    </row>
    <row r="213">
      <c r="A213" s="52"/>
      <c r="B213" s="52"/>
      <c r="C213" s="27"/>
      <c r="D213" s="27"/>
      <c r="E213" s="27"/>
    </row>
    <row r="214">
      <c r="A214" s="52"/>
      <c r="B214" s="52"/>
      <c r="C214" s="27"/>
      <c r="D214" s="27"/>
      <c r="E214" s="27"/>
    </row>
    <row r="215">
      <c r="A215" s="52"/>
      <c r="B215" s="52"/>
      <c r="C215" s="27"/>
      <c r="D215" s="27"/>
      <c r="E215" s="27"/>
    </row>
    <row r="216">
      <c r="A216" s="52"/>
      <c r="B216" s="52"/>
      <c r="C216" s="27"/>
      <c r="D216" s="27"/>
      <c r="E216" s="27"/>
    </row>
    <row r="217">
      <c r="A217" s="52"/>
      <c r="B217" s="52"/>
      <c r="C217" s="27"/>
      <c r="D217" s="27"/>
      <c r="E217" s="27"/>
    </row>
    <row r="218">
      <c r="A218" s="52"/>
      <c r="B218" s="52"/>
      <c r="C218" s="27"/>
      <c r="D218" s="27"/>
      <c r="E218" s="27"/>
    </row>
    <row r="219">
      <c r="A219" s="52"/>
      <c r="B219" s="52"/>
      <c r="C219" s="27"/>
      <c r="D219" s="27"/>
      <c r="E219" s="27"/>
    </row>
    <row r="220">
      <c r="A220" s="52"/>
      <c r="B220" s="52"/>
      <c r="C220" s="27"/>
      <c r="D220" s="27"/>
      <c r="E220" s="27"/>
    </row>
    <row r="221">
      <c r="A221" s="52"/>
      <c r="B221" s="52"/>
      <c r="C221" s="27"/>
      <c r="D221" s="27"/>
      <c r="E221" s="27"/>
    </row>
    <row r="222">
      <c r="A222" s="52"/>
      <c r="B222" s="52"/>
      <c r="C222" s="27"/>
      <c r="D222" s="27"/>
      <c r="E222" s="27"/>
    </row>
    <row r="223">
      <c r="A223" s="52"/>
      <c r="B223" s="52"/>
      <c r="C223" s="27"/>
      <c r="D223" s="27"/>
      <c r="E223" s="27"/>
    </row>
    <row r="224">
      <c r="A224" s="52"/>
      <c r="B224" s="52"/>
      <c r="C224" s="27"/>
      <c r="D224" s="27"/>
      <c r="E224" s="27"/>
    </row>
    <row r="225">
      <c r="A225" s="52"/>
      <c r="B225" s="52"/>
      <c r="C225" s="27"/>
      <c r="D225" s="27"/>
      <c r="E225" s="27"/>
    </row>
    <row r="226">
      <c r="A226" s="52"/>
      <c r="B226" s="52"/>
      <c r="C226" s="27"/>
      <c r="D226" s="27"/>
      <c r="E226" s="27"/>
    </row>
    <row r="227">
      <c r="A227" s="52"/>
      <c r="B227" s="52"/>
      <c r="C227" s="27"/>
      <c r="D227" s="27"/>
      <c r="E227" s="27"/>
    </row>
    <row r="228">
      <c r="A228" s="52"/>
      <c r="B228" s="52"/>
      <c r="C228" s="27"/>
      <c r="D228" s="27"/>
      <c r="E228" s="27"/>
    </row>
    <row r="229">
      <c r="A229" s="52"/>
      <c r="B229" s="52"/>
      <c r="C229" s="27"/>
      <c r="D229" s="27"/>
      <c r="E229" s="27"/>
    </row>
    <row r="230">
      <c r="A230" s="52"/>
      <c r="B230" s="52"/>
      <c r="C230" s="27"/>
      <c r="D230" s="27"/>
      <c r="E230" s="27"/>
    </row>
    <row r="231">
      <c r="A231" s="52"/>
      <c r="B231" s="52"/>
      <c r="C231" s="27"/>
      <c r="D231" s="27"/>
      <c r="E231" s="27"/>
    </row>
    <row r="232">
      <c r="A232" s="52"/>
      <c r="B232" s="52"/>
      <c r="C232" s="27"/>
      <c r="D232" s="27"/>
      <c r="E232" s="27"/>
    </row>
    <row r="233">
      <c r="A233" s="52"/>
      <c r="B233" s="52"/>
      <c r="C233" s="27"/>
      <c r="D233" s="27"/>
      <c r="E233" s="27"/>
    </row>
    <row r="234">
      <c r="A234" s="52"/>
      <c r="B234" s="52"/>
      <c r="C234" s="27"/>
      <c r="D234" s="27"/>
      <c r="E234" s="27"/>
    </row>
    <row r="235">
      <c r="A235" s="52"/>
      <c r="B235" s="52"/>
      <c r="C235" s="27"/>
      <c r="D235" s="27"/>
      <c r="E235" s="27"/>
    </row>
    <row r="236">
      <c r="A236" s="52"/>
      <c r="B236" s="52"/>
      <c r="C236" s="27"/>
      <c r="D236" s="27"/>
      <c r="E236" s="27"/>
    </row>
    <row r="237">
      <c r="A237" s="52"/>
      <c r="B237" s="52"/>
      <c r="C237" s="27"/>
      <c r="D237" s="27"/>
      <c r="E237" s="27"/>
    </row>
    <row r="238">
      <c r="A238" s="52"/>
      <c r="B238" s="52"/>
      <c r="C238" s="27"/>
      <c r="D238" s="27"/>
      <c r="E238" s="27"/>
    </row>
    <row r="239">
      <c r="A239" s="52"/>
      <c r="B239" s="52"/>
      <c r="C239" s="27"/>
      <c r="D239" s="27"/>
      <c r="E239" s="27"/>
    </row>
    <row r="240">
      <c r="A240" s="52"/>
      <c r="B240" s="52"/>
      <c r="C240" s="27"/>
      <c r="D240" s="27"/>
      <c r="E240" s="27"/>
    </row>
    <row r="241">
      <c r="A241" s="52"/>
      <c r="B241" s="52"/>
      <c r="C241" s="27"/>
      <c r="D241" s="27"/>
      <c r="E241" s="27"/>
    </row>
    <row r="242">
      <c r="A242" s="52"/>
      <c r="B242" s="52"/>
      <c r="C242" s="27"/>
      <c r="D242" s="27"/>
      <c r="E242" s="27"/>
    </row>
    <row r="243">
      <c r="A243" s="52"/>
      <c r="B243" s="52"/>
      <c r="C243" s="27"/>
      <c r="D243" s="27"/>
      <c r="E243" s="27"/>
    </row>
    <row r="244">
      <c r="A244" s="52"/>
      <c r="B244" s="52"/>
      <c r="C244" s="27"/>
      <c r="D244" s="27"/>
      <c r="E244" s="27"/>
    </row>
    <row r="245">
      <c r="A245" s="52"/>
      <c r="B245" s="52"/>
      <c r="C245" s="27"/>
      <c r="D245" s="27"/>
      <c r="E245" s="27"/>
    </row>
    <row r="246">
      <c r="A246" s="52"/>
      <c r="B246" s="52"/>
      <c r="C246" s="27"/>
      <c r="D246" s="27"/>
      <c r="E246" s="27"/>
    </row>
    <row r="247">
      <c r="A247" s="52"/>
      <c r="B247" s="52"/>
      <c r="C247" s="27"/>
      <c r="D247" s="27"/>
      <c r="E247" s="27"/>
    </row>
    <row r="248">
      <c r="A248" s="52"/>
      <c r="B248" s="52"/>
      <c r="C248" s="27"/>
      <c r="D248" s="27"/>
      <c r="E248" s="27"/>
    </row>
    <row r="249">
      <c r="A249" s="52"/>
      <c r="B249" s="52"/>
      <c r="C249" s="27"/>
      <c r="D249" s="27"/>
      <c r="E249" s="27"/>
    </row>
    <row r="250">
      <c r="A250" s="52"/>
      <c r="B250" s="52"/>
      <c r="C250" s="27"/>
      <c r="D250" s="27"/>
      <c r="E250" s="27"/>
    </row>
    <row r="251">
      <c r="A251" s="52"/>
      <c r="B251" s="52"/>
      <c r="C251" s="27"/>
      <c r="D251" s="27"/>
      <c r="E251" s="27"/>
    </row>
    <row r="252">
      <c r="A252" s="52"/>
      <c r="B252" s="52"/>
      <c r="C252" s="27"/>
      <c r="D252" s="27"/>
      <c r="E252" s="27"/>
    </row>
    <row r="253">
      <c r="A253" s="52"/>
      <c r="B253" s="52"/>
      <c r="C253" s="27"/>
      <c r="D253" s="27"/>
      <c r="E253" s="27"/>
    </row>
    <row r="254">
      <c r="A254" s="52"/>
      <c r="B254" s="52"/>
      <c r="C254" s="27"/>
      <c r="D254" s="27"/>
      <c r="E254" s="27"/>
    </row>
    <row r="255">
      <c r="A255" s="52"/>
      <c r="B255" s="52"/>
      <c r="C255" s="27"/>
      <c r="D255" s="27"/>
      <c r="E255" s="27"/>
    </row>
    <row r="256">
      <c r="A256" s="52"/>
      <c r="B256" s="52"/>
      <c r="C256" s="27"/>
      <c r="D256" s="27"/>
      <c r="E256" s="27"/>
    </row>
    <row r="257">
      <c r="A257" s="52"/>
      <c r="B257" s="52"/>
      <c r="C257" s="27"/>
      <c r="D257" s="27"/>
      <c r="E257" s="27"/>
    </row>
    <row r="258">
      <c r="A258" s="52"/>
      <c r="B258" s="52"/>
      <c r="C258" s="27"/>
      <c r="D258" s="27"/>
      <c r="E258" s="27"/>
    </row>
    <row r="259">
      <c r="A259" s="52"/>
      <c r="B259" s="52"/>
      <c r="C259" s="27"/>
      <c r="D259" s="27"/>
      <c r="E259" s="27"/>
    </row>
    <row r="260">
      <c r="A260" s="52"/>
      <c r="B260" s="52"/>
      <c r="C260" s="27"/>
      <c r="D260" s="27"/>
      <c r="E260" s="27"/>
    </row>
    <row r="261">
      <c r="A261" s="52"/>
      <c r="B261" s="52"/>
      <c r="C261" s="27"/>
      <c r="D261" s="27"/>
      <c r="E261" s="27"/>
    </row>
    <row r="262">
      <c r="A262" s="52"/>
      <c r="B262" s="52"/>
      <c r="C262" s="27"/>
      <c r="D262" s="27"/>
      <c r="E262" s="27"/>
    </row>
    <row r="263">
      <c r="A263" s="52"/>
      <c r="B263" s="52"/>
      <c r="C263" s="27"/>
      <c r="D263" s="27"/>
      <c r="E263" s="27"/>
    </row>
    <row r="264">
      <c r="A264" s="52"/>
      <c r="B264" s="52"/>
      <c r="C264" s="27"/>
      <c r="D264" s="27"/>
      <c r="E264" s="27"/>
    </row>
    <row r="265">
      <c r="A265" s="52"/>
      <c r="B265" s="52"/>
      <c r="C265" s="27"/>
      <c r="D265" s="27"/>
      <c r="E265" s="27"/>
    </row>
    <row r="266">
      <c r="A266" s="52"/>
      <c r="B266" s="52"/>
      <c r="C266" s="27"/>
      <c r="D266" s="27"/>
      <c r="E266" s="27"/>
    </row>
    <row r="267">
      <c r="A267" s="52"/>
      <c r="B267" s="52"/>
      <c r="C267" s="27"/>
      <c r="D267" s="27"/>
      <c r="E267" s="27"/>
    </row>
    <row r="268">
      <c r="A268" s="52"/>
      <c r="B268" s="52"/>
      <c r="C268" s="27"/>
      <c r="D268" s="27"/>
      <c r="E268" s="27"/>
    </row>
    <row r="269">
      <c r="A269" s="52"/>
      <c r="B269" s="52"/>
      <c r="C269" s="27"/>
      <c r="D269" s="27"/>
      <c r="E269" s="27"/>
    </row>
    <row r="270">
      <c r="A270" s="52"/>
      <c r="B270" s="52"/>
      <c r="C270" s="27"/>
      <c r="D270" s="27"/>
      <c r="E270" s="27"/>
    </row>
    <row r="271">
      <c r="A271" s="52"/>
      <c r="B271" s="52"/>
      <c r="C271" s="27"/>
      <c r="D271" s="27"/>
      <c r="E271" s="27"/>
    </row>
    <row r="272">
      <c r="A272" s="52"/>
      <c r="B272" s="52"/>
      <c r="C272" s="27"/>
      <c r="D272" s="27"/>
      <c r="E272" s="27"/>
    </row>
    <row r="273">
      <c r="A273" s="52"/>
      <c r="B273" s="52"/>
      <c r="C273" s="27"/>
      <c r="D273" s="27"/>
      <c r="E273" s="27"/>
    </row>
    <row r="274">
      <c r="A274" s="52"/>
      <c r="B274" s="52"/>
      <c r="C274" s="27"/>
      <c r="D274" s="27"/>
      <c r="E274" s="27"/>
    </row>
    <row r="275">
      <c r="A275" s="52"/>
      <c r="B275" s="52"/>
      <c r="C275" s="27"/>
      <c r="D275" s="27"/>
      <c r="E275" s="27"/>
    </row>
    <row r="276">
      <c r="A276" s="52"/>
      <c r="B276" s="52"/>
      <c r="C276" s="27"/>
      <c r="D276" s="27"/>
      <c r="E276" s="27"/>
    </row>
    <row r="277">
      <c r="A277" s="52"/>
      <c r="B277" s="52"/>
      <c r="C277" s="27"/>
      <c r="D277" s="27"/>
      <c r="E277" s="27"/>
    </row>
    <row r="278">
      <c r="A278" s="52"/>
      <c r="B278" s="52"/>
      <c r="C278" s="27"/>
      <c r="D278" s="27"/>
      <c r="E278" s="27"/>
    </row>
    <row r="279">
      <c r="A279" s="52"/>
      <c r="B279" s="52"/>
      <c r="C279" s="27"/>
      <c r="D279" s="27"/>
      <c r="E279" s="27"/>
    </row>
    <row r="280">
      <c r="A280" s="52"/>
      <c r="B280" s="52"/>
      <c r="C280" s="27"/>
      <c r="D280" s="27"/>
      <c r="E280" s="27"/>
    </row>
    <row r="281">
      <c r="A281" s="52"/>
      <c r="B281" s="52"/>
      <c r="C281" s="27"/>
      <c r="D281" s="27"/>
      <c r="E281" s="27"/>
    </row>
    <row r="282">
      <c r="A282" s="52"/>
      <c r="B282" s="52"/>
      <c r="C282" s="27"/>
      <c r="D282" s="27"/>
      <c r="E282" s="27"/>
    </row>
    <row r="283">
      <c r="A283" s="52"/>
      <c r="B283" s="52"/>
      <c r="C283" s="27"/>
      <c r="D283" s="27"/>
      <c r="E283" s="27"/>
    </row>
    <row r="284">
      <c r="A284" s="52"/>
      <c r="B284" s="52"/>
      <c r="C284" s="27"/>
      <c r="D284" s="27"/>
      <c r="E284" s="27"/>
    </row>
    <row r="285">
      <c r="A285" s="52"/>
      <c r="B285" s="52"/>
      <c r="C285" s="27"/>
      <c r="D285" s="27"/>
      <c r="E285" s="27"/>
    </row>
    <row r="286">
      <c r="A286" s="52"/>
      <c r="B286" s="52"/>
      <c r="C286" s="27"/>
      <c r="D286" s="27"/>
      <c r="E286" s="27"/>
    </row>
    <row r="287">
      <c r="A287" s="52"/>
      <c r="B287" s="52"/>
      <c r="C287" s="27"/>
      <c r="D287" s="27"/>
      <c r="E287" s="27"/>
    </row>
    <row r="288">
      <c r="A288" s="52"/>
      <c r="B288" s="52"/>
      <c r="C288" s="27"/>
      <c r="D288" s="27"/>
      <c r="E288" s="27"/>
    </row>
    <row r="289">
      <c r="A289" s="52"/>
      <c r="B289" s="52"/>
      <c r="C289" s="27"/>
      <c r="D289" s="27"/>
      <c r="E289" s="27"/>
    </row>
    <row r="290">
      <c r="A290" s="52"/>
      <c r="B290" s="52"/>
      <c r="C290" s="27"/>
      <c r="D290" s="27"/>
      <c r="E290" s="27"/>
    </row>
    <row r="291">
      <c r="A291" s="52"/>
      <c r="B291" s="52"/>
      <c r="C291" s="27"/>
      <c r="D291" s="27"/>
      <c r="E291" s="27"/>
    </row>
    <row r="292">
      <c r="A292" s="52"/>
      <c r="B292" s="52"/>
      <c r="C292" s="27"/>
      <c r="D292" s="27"/>
      <c r="E292" s="27"/>
    </row>
    <row r="293">
      <c r="A293" s="52"/>
      <c r="B293" s="52"/>
      <c r="C293" s="27"/>
      <c r="D293" s="27"/>
      <c r="E293" s="27"/>
    </row>
    <row r="294">
      <c r="A294" s="52"/>
      <c r="B294" s="52"/>
      <c r="C294" s="27"/>
      <c r="D294" s="27"/>
      <c r="E294" s="27"/>
    </row>
    <row r="295">
      <c r="A295" s="52"/>
      <c r="B295" s="52"/>
      <c r="C295" s="27"/>
      <c r="D295" s="27"/>
      <c r="E295" s="27"/>
    </row>
    <row r="296">
      <c r="A296" s="52"/>
      <c r="B296" s="52"/>
      <c r="C296" s="27"/>
      <c r="D296" s="27"/>
      <c r="E296" s="27"/>
    </row>
    <row r="297">
      <c r="A297" s="52"/>
      <c r="B297" s="52"/>
      <c r="C297" s="27"/>
      <c r="D297" s="27"/>
      <c r="E297" s="27"/>
    </row>
    <row r="298">
      <c r="A298" s="52"/>
      <c r="B298" s="52"/>
      <c r="C298" s="27"/>
      <c r="D298" s="27"/>
      <c r="E298" s="27"/>
    </row>
    <row r="299">
      <c r="A299" s="52"/>
      <c r="B299" s="52"/>
      <c r="C299" s="27"/>
      <c r="D299" s="27"/>
      <c r="E299" s="27"/>
    </row>
    <row r="300">
      <c r="A300" s="52"/>
      <c r="B300" s="52"/>
      <c r="C300" s="27"/>
      <c r="D300" s="27"/>
      <c r="E300" s="27"/>
    </row>
    <row r="301">
      <c r="A301" s="52"/>
      <c r="B301" s="52"/>
      <c r="C301" s="27"/>
      <c r="D301" s="27"/>
      <c r="E301" s="27"/>
    </row>
    <row r="302">
      <c r="A302" s="52"/>
      <c r="B302" s="52"/>
      <c r="C302" s="27"/>
      <c r="D302" s="27"/>
      <c r="E302" s="27"/>
    </row>
    <row r="303">
      <c r="A303" s="52"/>
      <c r="B303" s="52"/>
      <c r="C303" s="27"/>
      <c r="D303" s="27"/>
      <c r="E303" s="27"/>
    </row>
    <row r="304">
      <c r="A304" s="52"/>
      <c r="B304" s="52"/>
      <c r="C304" s="27"/>
      <c r="D304" s="27"/>
      <c r="E304" s="27"/>
    </row>
    <row r="305">
      <c r="A305" s="52"/>
      <c r="B305" s="52"/>
      <c r="C305" s="27"/>
      <c r="D305" s="27"/>
      <c r="E305" s="27"/>
    </row>
    <row r="306">
      <c r="A306" s="52"/>
      <c r="B306" s="52"/>
      <c r="C306" s="27"/>
      <c r="D306" s="27"/>
      <c r="E306" s="27"/>
    </row>
    <row r="307">
      <c r="A307" s="52"/>
      <c r="B307" s="52"/>
      <c r="C307" s="27"/>
      <c r="D307" s="27"/>
      <c r="E307" s="27"/>
    </row>
    <row r="308">
      <c r="A308" s="52"/>
      <c r="B308" s="52"/>
      <c r="C308" s="27"/>
      <c r="D308" s="27"/>
      <c r="E308" s="27"/>
    </row>
    <row r="309">
      <c r="A309" s="52"/>
      <c r="B309" s="52"/>
      <c r="C309" s="27"/>
      <c r="D309" s="27"/>
      <c r="E309" s="27"/>
    </row>
    <row r="310">
      <c r="A310" s="52"/>
      <c r="B310" s="52"/>
      <c r="C310" s="27"/>
      <c r="D310" s="27"/>
      <c r="E310" s="27"/>
    </row>
    <row r="311">
      <c r="A311" s="52"/>
      <c r="B311" s="52"/>
      <c r="C311" s="27"/>
      <c r="D311" s="27"/>
      <c r="E311" s="27"/>
    </row>
    <row r="312">
      <c r="A312" s="52"/>
      <c r="B312" s="52"/>
      <c r="C312" s="27"/>
      <c r="D312" s="27"/>
      <c r="E312" s="27"/>
    </row>
    <row r="313">
      <c r="A313" s="52"/>
      <c r="B313" s="52"/>
      <c r="C313" s="27"/>
      <c r="D313" s="27"/>
      <c r="E313" s="27"/>
    </row>
    <row r="314">
      <c r="A314" s="52"/>
      <c r="B314" s="52"/>
      <c r="C314" s="27"/>
      <c r="D314" s="27"/>
      <c r="E314" s="27"/>
    </row>
    <row r="315">
      <c r="A315" s="52"/>
      <c r="B315" s="52"/>
      <c r="C315" s="27"/>
      <c r="D315" s="27"/>
      <c r="E315" s="27"/>
    </row>
    <row r="316">
      <c r="A316" s="52"/>
      <c r="B316" s="52"/>
      <c r="C316" s="27"/>
      <c r="D316" s="27"/>
      <c r="E316" s="27"/>
    </row>
    <row r="317">
      <c r="A317" s="52"/>
      <c r="B317" s="52"/>
      <c r="C317" s="27"/>
      <c r="D317" s="27"/>
      <c r="E317" s="27"/>
    </row>
    <row r="318">
      <c r="A318" s="52"/>
      <c r="B318" s="52"/>
      <c r="C318" s="27"/>
      <c r="D318" s="27"/>
      <c r="E318" s="27"/>
    </row>
    <row r="319">
      <c r="A319" s="52"/>
      <c r="B319" s="52"/>
      <c r="C319" s="27"/>
      <c r="D319" s="27"/>
      <c r="E319" s="27"/>
    </row>
    <row r="320">
      <c r="A320" s="52"/>
      <c r="B320" s="52"/>
      <c r="C320" s="27"/>
      <c r="D320" s="27"/>
      <c r="E320" s="27"/>
    </row>
    <row r="321">
      <c r="A321" s="52"/>
      <c r="B321" s="52"/>
      <c r="C321" s="27"/>
      <c r="D321" s="27"/>
      <c r="E321" s="27"/>
    </row>
    <row r="322">
      <c r="A322" s="52"/>
      <c r="B322" s="52"/>
      <c r="C322" s="27"/>
      <c r="D322" s="27"/>
      <c r="E322" s="27"/>
    </row>
    <row r="323">
      <c r="A323" s="52"/>
      <c r="B323" s="52"/>
      <c r="C323" s="27"/>
      <c r="D323" s="27"/>
      <c r="E323" s="27"/>
    </row>
    <row r="324">
      <c r="A324" s="52"/>
      <c r="B324" s="52"/>
      <c r="C324" s="27"/>
      <c r="D324" s="27"/>
      <c r="E324" s="27"/>
    </row>
    <row r="325">
      <c r="A325" s="52"/>
      <c r="B325" s="52"/>
      <c r="C325" s="27"/>
      <c r="D325" s="27"/>
      <c r="E325" s="27"/>
    </row>
    <row r="326">
      <c r="A326" s="52"/>
      <c r="B326" s="52"/>
      <c r="C326" s="27"/>
      <c r="D326" s="27"/>
      <c r="E326" s="27"/>
    </row>
    <row r="327">
      <c r="A327" s="52"/>
      <c r="B327" s="52"/>
      <c r="C327" s="27"/>
      <c r="D327" s="27"/>
      <c r="E327" s="27"/>
    </row>
    <row r="328">
      <c r="A328" s="52"/>
      <c r="B328" s="52"/>
      <c r="C328" s="27"/>
      <c r="D328" s="27"/>
      <c r="E328" s="27"/>
    </row>
    <row r="329">
      <c r="A329" s="52"/>
      <c r="B329" s="52"/>
      <c r="C329" s="27"/>
      <c r="D329" s="27"/>
      <c r="E329" s="27"/>
    </row>
    <row r="330">
      <c r="A330" s="52"/>
      <c r="B330" s="52"/>
      <c r="C330" s="27"/>
      <c r="D330" s="27"/>
      <c r="E330" s="27"/>
    </row>
    <row r="331">
      <c r="A331" s="52"/>
      <c r="B331" s="52"/>
      <c r="C331" s="27"/>
      <c r="D331" s="27"/>
      <c r="E331" s="27"/>
    </row>
    <row r="332">
      <c r="A332" s="52"/>
      <c r="B332" s="52"/>
      <c r="C332" s="27"/>
      <c r="D332" s="27"/>
      <c r="E332" s="27"/>
    </row>
    <row r="333">
      <c r="A333" s="52"/>
      <c r="B333" s="52"/>
      <c r="C333" s="27"/>
      <c r="D333" s="27"/>
      <c r="E333" s="27"/>
    </row>
    <row r="334">
      <c r="A334" s="52"/>
      <c r="B334" s="52"/>
      <c r="C334" s="27"/>
      <c r="D334" s="27"/>
      <c r="E334" s="27"/>
    </row>
    <row r="335">
      <c r="A335" s="52"/>
      <c r="B335" s="52"/>
      <c r="C335" s="27"/>
      <c r="D335" s="27"/>
      <c r="E335" s="27"/>
    </row>
    <row r="336">
      <c r="A336" s="52"/>
      <c r="B336" s="52"/>
      <c r="C336" s="27"/>
      <c r="D336" s="27"/>
      <c r="E336" s="27"/>
    </row>
    <row r="337">
      <c r="A337" s="52"/>
      <c r="B337" s="52"/>
      <c r="C337" s="27"/>
      <c r="D337" s="27"/>
      <c r="E337" s="27"/>
    </row>
    <row r="338">
      <c r="A338" s="52"/>
      <c r="B338" s="52"/>
      <c r="C338" s="27"/>
      <c r="D338" s="27"/>
      <c r="E338" s="27"/>
    </row>
    <row r="339">
      <c r="A339" s="52"/>
      <c r="B339" s="52"/>
      <c r="C339" s="27"/>
      <c r="D339" s="27"/>
      <c r="E339" s="27"/>
    </row>
    <row r="340">
      <c r="A340" s="52"/>
      <c r="B340" s="52"/>
      <c r="C340" s="27"/>
      <c r="D340" s="27"/>
      <c r="E340" s="27"/>
    </row>
    <row r="341">
      <c r="A341" s="52"/>
      <c r="B341" s="52"/>
      <c r="C341" s="27"/>
      <c r="D341" s="27"/>
      <c r="E341" s="27"/>
    </row>
    <row r="342">
      <c r="A342" s="52"/>
      <c r="B342" s="52"/>
      <c r="C342" s="27"/>
      <c r="D342" s="27"/>
      <c r="E342" s="27"/>
    </row>
    <row r="343">
      <c r="A343" s="52"/>
      <c r="B343" s="52"/>
      <c r="C343" s="27"/>
      <c r="D343" s="27"/>
      <c r="E343" s="27"/>
    </row>
    <row r="344">
      <c r="A344" s="52"/>
      <c r="B344" s="52"/>
      <c r="C344" s="27"/>
      <c r="D344" s="27"/>
      <c r="E344" s="27"/>
    </row>
    <row r="345">
      <c r="A345" s="52"/>
      <c r="B345" s="52"/>
      <c r="C345" s="27"/>
      <c r="D345" s="27"/>
      <c r="E345" s="27"/>
    </row>
    <row r="346">
      <c r="A346" s="52"/>
      <c r="B346" s="52"/>
      <c r="C346" s="27"/>
      <c r="D346" s="27"/>
      <c r="E346" s="27"/>
    </row>
    <row r="347">
      <c r="A347" s="52"/>
      <c r="B347" s="52"/>
      <c r="C347" s="27"/>
      <c r="D347" s="27"/>
      <c r="E347" s="27"/>
    </row>
    <row r="348">
      <c r="A348" s="52"/>
      <c r="B348" s="52"/>
      <c r="C348" s="27"/>
      <c r="D348" s="27"/>
      <c r="E348" s="27"/>
    </row>
    <row r="349">
      <c r="A349" s="52"/>
      <c r="B349" s="52"/>
      <c r="C349" s="27"/>
      <c r="D349" s="27"/>
      <c r="E349" s="27"/>
    </row>
    <row r="350">
      <c r="A350" s="52"/>
      <c r="B350" s="52"/>
      <c r="C350" s="27"/>
      <c r="D350" s="27"/>
      <c r="E350" s="27"/>
    </row>
    <row r="351">
      <c r="A351" s="52"/>
      <c r="B351" s="52"/>
      <c r="C351" s="27"/>
      <c r="D351" s="27"/>
      <c r="E351" s="27"/>
    </row>
    <row r="352">
      <c r="A352" s="52"/>
      <c r="B352" s="52"/>
      <c r="C352" s="27"/>
      <c r="D352" s="27"/>
      <c r="E352" s="27"/>
    </row>
    <row r="353">
      <c r="A353" s="52"/>
      <c r="B353" s="52"/>
      <c r="C353" s="27"/>
      <c r="D353" s="27"/>
      <c r="E353" s="27"/>
    </row>
    <row r="354">
      <c r="A354" s="52"/>
      <c r="B354" s="52"/>
      <c r="C354" s="27"/>
      <c r="D354" s="27"/>
      <c r="E354" s="27"/>
    </row>
    <row r="355">
      <c r="A355" s="52"/>
      <c r="B355" s="52"/>
      <c r="C355" s="27"/>
      <c r="D355" s="27"/>
      <c r="E355" s="27"/>
    </row>
    <row r="356">
      <c r="A356" s="52"/>
      <c r="B356" s="52"/>
      <c r="C356" s="27"/>
      <c r="D356" s="27"/>
      <c r="E356" s="27"/>
    </row>
    <row r="357">
      <c r="A357" s="52"/>
      <c r="B357" s="52"/>
      <c r="C357" s="27"/>
      <c r="D357" s="27"/>
      <c r="E357" s="27"/>
    </row>
    <row r="358">
      <c r="A358" s="52"/>
      <c r="B358" s="52"/>
      <c r="C358" s="27"/>
      <c r="D358" s="27"/>
      <c r="E358" s="27"/>
    </row>
    <row r="359">
      <c r="A359" s="52"/>
      <c r="B359" s="52"/>
      <c r="C359" s="27"/>
      <c r="D359" s="27"/>
      <c r="E359" s="27"/>
    </row>
    <row r="360">
      <c r="A360" s="52"/>
      <c r="B360" s="52"/>
      <c r="C360" s="27"/>
      <c r="D360" s="27"/>
      <c r="E360" s="27"/>
    </row>
    <row r="361">
      <c r="A361" s="52"/>
      <c r="B361" s="52"/>
      <c r="C361" s="27"/>
      <c r="D361" s="27"/>
      <c r="E361" s="27"/>
    </row>
    <row r="362">
      <c r="A362" s="52"/>
      <c r="B362" s="52"/>
      <c r="C362" s="27"/>
      <c r="D362" s="27"/>
      <c r="E362" s="27"/>
    </row>
    <row r="363">
      <c r="A363" s="52"/>
      <c r="B363" s="52"/>
      <c r="C363" s="27"/>
      <c r="D363" s="27"/>
      <c r="E363" s="27"/>
    </row>
    <row r="364">
      <c r="A364" s="52"/>
      <c r="B364" s="52"/>
      <c r="C364" s="27"/>
      <c r="D364" s="27"/>
      <c r="E364" s="27"/>
    </row>
    <row r="365">
      <c r="A365" s="52"/>
      <c r="B365" s="52"/>
      <c r="C365" s="27"/>
      <c r="D365" s="27"/>
      <c r="E365" s="27"/>
    </row>
    <row r="366">
      <c r="A366" s="52"/>
      <c r="B366" s="52"/>
      <c r="C366" s="27"/>
      <c r="D366" s="27"/>
      <c r="E366" s="27"/>
    </row>
    <row r="367">
      <c r="A367" s="52"/>
      <c r="B367" s="52"/>
      <c r="C367" s="27"/>
      <c r="D367" s="27"/>
      <c r="E367" s="27"/>
    </row>
    <row r="368">
      <c r="A368" s="52"/>
      <c r="B368" s="52"/>
      <c r="C368" s="27"/>
      <c r="D368" s="27"/>
      <c r="E368" s="27"/>
    </row>
    <row r="369">
      <c r="A369" s="52"/>
      <c r="B369" s="52"/>
      <c r="C369" s="27"/>
      <c r="D369" s="27"/>
      <c r="E369" s="27"/>
    </row>
    <row r="370">
      <c r="A370" s="52"/>
      <c r="B370" s="52"/>
      <c r="C370" s="27"/>
      <c r="D370" s="27"/>
      <c r="E370" s="27"/>
    </row>
    <row r="371">
      <c r="A371" s="52"/>
      <c r="B371" s="52"/>
      <c r="C371" s="27"/>
      <c r="D371" s="27"/>
      <c r="E371" s="27"/>
    </row>
    <row r="372">
      <c r="A372" s="52"/>
      <c r="B372" s="52"/>
      <c r="C372" s="27"/>
      <c r="D372" s="27"/>
      <c r="E372" s="27"/>
    </row>
    <row r="373">
      <c r="A373" s="52"/>
      <c r="B373" s="52"/>
      <c r="C373" s="27"/>
      <c r="D373" s="27"/>
      <c r="E373" s="27"/>
    </row>
    <row r="374">
      <c r="A374" s="52"/>
      <c r="B374" s="52"/>
      <c r="C374" s="27"/>
      <c r="D374" s="27"/>
      <c r="E374" s="27"/>
    </row>
    <row r="375">
      <c r="A375" s="52"/>
      <c r="B375" s="52"/>
      <c r="C375" s="27"/>
      <c r="D375" s="27"/>
      <c r="E375" s="27"/>
    </row>
    <row r="376">
      <c r="A376" s="52"/>
      <c r="B376" s="52"/>
      <c r="C376" s="27"/>
      <c r="D376" s="27"/>
      <c r="E376" s="27"/>
    </row>
    <row r="377">
      <c r="A377" s="52"/>
      <c r="B377" s="52"/>
      <c r="C377" s="27"/>
      <c r="D377" s="27"/>
      <c r="E377" s="27"/>
    </row>
    <row r="378">
      <c r="A378" s="52"/>
      <c r="B378" s="52"/>
      <c r="C378" s="27"/>
      <c r="D378" s="27"/>
      <c r="E378" s="27"/>
    </row>
    <row r="379">
      <c r="A379" s="52"/>
      <c r="B379" s="52"/>
      <c r="C379" s="27"/>
      <c r="D379" s="27"/>
      <c r="E379" s="27"/>
    </row>
    <row r="380">
      <c r="A380" s="52"/>
      <c r="B380" s="52"/>
      <c r="C380" s="27"/>
      <c r="D380" s="27"/>
      <c r="E380" s="27"/>
    </row>
    <row r="381">
      <c r="A381" s="52"/>
      <c r="B381" s="52"/>
      <c r="C381" s="27"/>
      <c r="D381" s="27"/>
      <c r="E381" s="27"/>
    </row>
    <row r="382">
      <c r="A382" s="52"/>
      <c r="B382" s="52"/>
      <c r="C382" s="27"/>
      <c r="D382" s="27"/>
      <c r="E382" s="27"/>
    </row>
    <row r="383">
      <c r="A383" s="52"/>
      <c r="B383" s="52"/>
      <c r="C383" s="27"/>
      <c r="D383" s="27"/>
      <c r="E383" s="27"/>
    </row>
    <row r="384">
      <c r="A384" s="52"/>
      <c r="B384" s="52"/>
      <c r="C384" s="27"/>
      <c r="D384" s="27"/>
      <c r="E384" s="27"/>
    </row>
    <row r="385">
      <c r="A385" s="52"/>
      <c r="B385" s="52"/>
      <c r="C385" s="27"/>
      <c r="D385" s="27"/>
      <c r="E385" s="27"/>
    </row>
    <row r="386">
      <c r="A386" s="52"/>
      <c r="B386" s="52"/>
      <c r="C386" s="27"/>
      <c r="D386" s="27"/>
      <c r="E386" s="27"/>
    </row>
    <row r="387">
      <c r="A387" s="52"/>
      <c r="B387" s="52"/>
      <c r="C387" s="27"/>
      <c r="D387" s="27"/>
      <c r="E387" s="27"/>
    </row>
    <row r="388">
      <c r="A388" s="52"/>
      <c r="B388" s="52"/>
      <c r="C388" s="27"/>
      <c r="D388" s="27"/>
      <c r="E388" s="27"/>
    </row>
    <row r="389">
      <c r="A389" s="52"/>
      <c r="B389" s="52"/>
      <c r="C389" s="27"/>
      <c r="D389" s="27"/>
      <c r="E389" s="27"/>
    </row>
    <row r="390">
      <c r="A390" s="52"/>
      <c r="B390" s="52"/>
      <c r="C390" s="27"/>
      <c r="D390" s="27"/>
      <c r="E390" s="27"/>
    </row>
    <row r="391">
      <c r="A391" s="52"/>
      <c r="B391" s="52"/>
      <c r="C391" s="27"/>
      <c r="D391" s="27"/>
      <c r="E391" s="27"/>
    </row>
    <row r="392">
      <c r="A392" s="52"/>
      <c r="B392" s="52"/>
      <c r="C392" s="27"/>
      <c r="D392" s="27"/>
      <c r="E392" s="27"/>
    </row>
    <row r="393">
      <c r="A393" s="52"/>
      <c r="B393" s="52"/>
      <c r="C393" s="27"/>
      <c r="D393" s="27"/>
      <c r="E393" s="27"/>
    </row>
    <row r="394">
      <c r="A394" s="52"/>
      <c r="B394" s="52"/>
      <c r="C394" s="27"/>
      <c r="D394" s="27"/>
      <c r="E394" s="27"/>
    </row>
    <row r="395">
      <c r="A395" s="52"/>
      <c r="B395" s="52"/>
      <c r="C395" s="27"/>
      <c r="D395" s="27"/>
      <c r="E395" s="27"/>
    </row>
    <row r="396">
      <c r="A396" s="52"/>
      <c r="B396" s="52"/>
      <c r="C396" s="27"/>
      <c r="D396" s="27"/>
      <c r="E396" s="27"/>
    </row>
    <row r="397">
      <c r="A397" s="52"/>
      <c r="B397" s="52"/>
      <c r="C397" s="27"/>
      <c r="D397" s="27"/>
      <c r="E397" s="27"/>
    </row>
    <row r="398">
      <c r="A398" s="52"/>
      <c r="B398" s="52"/>
      <c r="C398" s="27"/>
      <c r="D398" s="27"/>
      <c r="E398" s="27"/>
    </row>
    <row r="399">
      <c r="A399" s="52"/>
      <c r="B399" s="52"/>
      <c r="C399" s="27"/>
      <c r="D399" s="27"/>
      <c r="E399" s="27"/>
    </row>
    <row r="400">
      <c r="A400" s="52"/>
      <c r="B400" s="52"/>
      <c r="C400" s="27"/>
      <c r="D400" s="27"/>
      <c r="E400" s="27"/>
    </row>
    <row r="401">
      <c r="A401" s="52"/>
      <c r="B401" s="52"/>
      <c r="C401" s="27"/>
      <c r="D401" s="27"/>
      <c r="E401" s="27"/>
    </row>
    <row r="402">
      <c r="A402" s="52"/>
      <c r="B402" s="52"/>
      <c r="C402" s="27"/>
      <c r="D402" s="27"/>
      <c r="E402" s="27"/>
    </row>
    <row r="403">
      <c r="A403" s="52"/>
      <c r="B403" s="52"/>
      <c r="C403" s="27"/>
      <c r="D403" s="27"/>
      <c r="E403" s="27"/>
    </row>
    <row r="404">
      <c r="A404" s="52"/>
      <c r="B404" s="52"/>
      <c r="C404" s="27"/>
      <c r="D404" s="27"/>
      <c r="E404" s="27"/>
    </row>
    <row r="405">
      <c r="A405" s="52"/>
      <c r="B405" s="52"/>
      <c r="C405" s="27"/>
      <c r="D405" s="27"/>
      <c r="E405" s="27"/>
    </row>
    <row r="406">
      <c r="A406" s="52"/>
      <c r="B406" s="52"/>
      <c r="C406" s="27"/>
      <c r="D406" s="27"/>
      <c r="E406" s="27"/>
    </row>
    <row r="407">
      <c r="A407" s="52"/>
      <c r="B407" s="52"/>
      <c r="C407" s="27"/>
      <c r="D407" s="27"/>
      <c r="E407" s="27"/>
    </row>
    <row r="408">
      <c r="A408" s="52"/>
      <c r="B408" s="52"/>
      <c r="C408" s="27"/>
      <c r="D408" s="27"/>
      <c r="E408" s="27"/>
    </row>
    <row r="409">
      <c r="A409" s="52"/>
      <c r="B409" s="52"/>
      <c r="C409" s="27"/>
      <c r="D409" s="27"/>
      <c r="E409" s="27"/>
    </row>
    <row r="410">
      <c r="A410" s="52"/>
      <c r="B410" s="52"/>
      <c r="C410" s="27"/>
      <c r="D410" s="27"/>
      <c r="E410" s="27"/>
    </row>
    <row r="411">
      <c r="A411" s="52"/>
      <c r="B411" s="52"/>
      <c r="C411" s="27"/>
      <c r="D411" s="27"/>
      <c r="E411" s="27"/>
    </row>
    <row r="412">
      <c r="A412" s="52"/>
      <c r="B412" s="52"/>
      <c r="C412" s="27"/>
      <c r="D412" s="27"/>
      <c r="E412" s="27"/>
    </row>
    <row r="413">
      <c r="A413" s="52"/>
      <c r="B413" s="52"/>
      <c r="C413" s="27"/>
      <c r="D413" s="27"/>
      <c r="E413" s="27"/>
    </row>
    <row r="414">
      <c r="A414" s="52"/>
      <c r="B414" s="52"/>
      <c r="C414" s="27"/>
      <c r="D414" s="27"/>
      <c r="E414" s="27"/>
    </row>
    <row r="415">
      <c r="A415" s="52"/>
      <c r="B415" s="52"/>
      <c r="C415" s="27"/>
      <c r="D415" s="27"/>
      <c r="E415" s="27"/>
    </row>
    <row r="416">
      <c r="A416" s="52"/>
      <c r="B416" s="52"/>
      <c r="C416" s="27"/>
      <c r="D416" s="27"/>
      <c r="E416" s="27"/>
    </row>
    <row r="417">
      <c r="A417" s="52"/>
      <c r="B417" s="52"/>
      <c r="C417" s="27"/>
      <c r="D417" s="27"/>
      <c r="E417" s="27"/>
    </row>
    <row r="418">
      <c r="A418" s="52"/>
      <c r="B418" s="52"/>
      <c r="C418" s="27"/>
      <c r="D418" s="27"/>
      <c r="E418" s="27"/>
    </row>
    <row r="419">
      <c r="A419" s="52"/>
      <c r="B419" s="52"/>
      <c r="C419" s="27"/>
      <c r="D419" s="27"/>
      <c r="E419" s="27"/>
    </row>
    <row r="420">
      <c r="A420" s="52"/>
      <c r="B420" s="52"/>
      <c r="C420" s="27"/>
      <c r="D420" s="27"/>
      <c r="E420" s="27"/>
    </row>
    <row r="421">
      <c r="A421" s="52"/>
      <c r="B421" s="52"/>
      <c r="C421" s="27"/>
      <c r="D421" s="27"/>
      <c r="E421" s="27"/>
    </row>
    <row r="422">
      <c r="A422" s="52"/>
      <c r="B422" s="52"/>
      <c r="C422" s="27"/>
      <c r="D422" s="27"/>
      <c r="E422" s="27"/>
    </row>
    <row r="423">
      <c r="A423" s="52"/>
      <c r="B423" s="52"/>
      <c r="C423" s="27"/>
      <c r="D423" s="27"/>
      <c r="E423" s="27"/>
    </row>
    <row r="424">
      <c r="A424" s="52"/>
      <c r="B424" s="52"/>
      <c r="C424" s="27"/>
      <c r="D424" s="27"/>
      <c r="E424" s="27"/>
    </row>
    <row r="425">
      <c r="A425" s="52"/>
      <c r="B425" s="52"/>
      <c r="C425" s="27"/>
      <c r="D425" s="27"/>
      <c r="E425" s="27"/>
    </row>
    <row r="426">
      <c r="A426" s="52"/>
      <c r="B426" s="52"/>
      <c r="C426" s="27"/>
      <c r="D426" s="27"/>
      <c r="E426" s="27"/>
    </row>
    <row r="427">
      <c r="A427" s="52"/>
      <c r="B427" s="52"/>
      <c r="C427" s="27"/>
      <c r="D427" s="27"/>
      <c r="E427" s="27"/>
    </row>
    <row r="428">
      <c r="A428" s="52"/>
      <c r="B428" s="52"/>
      <c r="C428" s="27"/>
      <c r="D428" s="27"/>
      <c r="E428" s="27"/>
    </row>
    <row r="429">
      <c r="A429" s="52"/>
      <c r="B429" s="52"/>
      <c r="C429" s="27"/>
      <c r="D429" s="27"/>
      <c r="E429" s="27"/>
    </row>
    <row r="430">
      <c r="A430" s="52"/>
      <c r="B430" s="52"/>
      <c r="C430" s="27"/>
      <c r="D430" s="27"/>
      <c r="E430" s="27"/>
    </row>
    <row r="431">
      <c r="A431" s="52"/>
      <c r="B431" s="52"/>
      <c r="C431" s="27"/>
      <c r="D431" s="27"/>
      <c r="E431" s="27"/>
    </row>
    <row r="432">
      <c r="A432" s="52"/>
      <c r="B432" s="52"/>
      <c r="C432" s="27"/>
      <c r="D432" s="27"/>
      <c r="E432" s="27"/>
    </row>
    <row r="433">
      <c r="A433" s="52"/>
      <c r="B433" s="52"/>
      <c r="C433" s="27"/>
      <c r="D433" s="27"/>
      <c r="E433" s="27"/>
    </row>
    <row r="434">
      <c r="A434" s="52"/>
      <c r="B434" s="52"/>
      <c r="C434" s="27"/>
      <c r="D434" s="27"/>
      <c r="E434" s="27"/>
    </row>
    <row r="435">
      <c r="A435" s="52"/>
      <c r="B435" s="52"/>
      <c r="C435" s="27"/>
      <c r="D435" s="27"/>
      <c r="E435" s="27"/>
    </row>
    <row r="436">
      <c r="A436" s="52"/>
      <c r="B436" s="52"/>
      <c r="C436" s="27"/>
      <c r="D436" s="27"/>
      <c r="E436" s="27"/>
    </row>
    <row r="437">
      <c r="A437" s="52"/>
      <c r="B437" s="52"/>
      <c r="C437" s="27"/>
      <c r="D437" s="27"/>
      <c r="E437" s="27"/>
    </row>
    <row r="438">
      <c r="A438" s="52"/>
      <c r="B438" s="52"/>
      <c r="C438" s="27"/>
      <c r="D438" s="27"/>
      <c r="E438" s="27"/>
    </row>
    <row r="439">
      <c r="A439" s="52"/>
      <c r="B439" s="52"/>
      <c r="C439" s="27"/>
      <c r="D439" s="27"/>
      <c r="E439" s="27"/>
    </row>
    <row r="440">
      <c r="A440" s="52"/>
      <c r="B440" s="52"/>
      <c r="C440" s="27"/>
      <c r="D440" s="27"/>
      <c r="E440" s="27"/>
    </row>
    <row r="441">
      <c r="A441" s="52"/>
      <c r="B441" s="52"/>
      <c r="C441" s="27"/>
      <c r="D441" s="27"/>
      <c r="E441" s="27"/>
    </row>
    <row r="442">
      <c r="A442" s="52"/>
      <c r="B442" s="52"/>
      <c r="C442" s="27"/>
      <c r="D442" s="27"/>
      <c r="E442" s="27"/>
    </row>
    <row r="443">
      <c r="A443" s="52"/>
      <c r="B443" s="52"/>
      <c r="C443" s="27"/>
      <c r="D443" s="27"/>
      <c r="E443" s="27"/>
    </row>
    <row r="444">
      <c r="A444" s="52"/>
      <c r="B444" s="52"/>
      <c r="C444" s="27"/>
      <c r="D444" s="27"/>
      <c r="E444" s="27"/>
    </row>
    <row r="445">
      <c r="A445" s="52"/>
      <c r="B445" s="52"/>
      <c r="C445" s="27"/>
      <c r="D445" s="27"/>
      <c r="E445" s="27"/>
    </row>
    <row r="446">
      <c r="A446" s="52"/>
      <c r="B446" s="52"/>
      <c r="C446" s="27"/>
      <c r="D446" s="27"/>
      <c r="E446" s="27"/>
    </row>
    <row r="447">
      <c r="A447" s="52"/>
      <c r="B447" s="52"/>
      <c r="C447" s="27"/>
      <c r="D447" s="27"/>
      <c r="E447" s="27"/>
    </row>
    <row r="448">
      <c r="A448" s="52"/>
      <c r="B448" s="52"/>
      <c r="C448" s="27"/>
      <c r="D448" s="27"/>
      <c r="E448" s="27"/>
    </row>
    <row r="449">
      <c r="A449" s="52"/>
      <c r="B449" s="52"/>
      <c r="C449" s="27"/>
      <c r="D449" s="27"/>
      <c r="E449" s="27"/>
    </row>
    <row r="450">
      <c r="A450" s="52"/>
      <c r="B450" s="52"/>
      <c r="C450" s="27"/>
      <c r="D450" s="27"/>
      <c r="E450" s="27"/>
    </row>
    <row r="451">
      <c r="A451" s="52"/>
      <c r="B451" s="52"/>
      <c r="C451" s="27"/>
      <c r="D451" s="27"/>
      <c r="E451" s="27"/>
    </row>
    <row r="452">
      <c r="A452" s="52"/>
      <c r="B452" s="52"/>
      <c r="C452" s="27"/>
      <c r="D452" s="27"/>
      <c r="E452" s="27"/>
    </row>
    <row r="453">
      <c r="A453" s="52"/>
      <c r="B453" s="52"/>
      <c r="C453" s="27"/>
      <c r="D453" s="27"/>
      <c r="E453" s="27"/>
    </row>
    <row r="454">
      <c r="A454" s="52"/>
      <c r="B454" s="52"/>
      <c r="C454" s="27"/>
      <c r="D454" s="27"/>
      <c r="E454" s="27"/>
    </row>
    <row r="455">
      <c r="A455" s="52"/>
      <c r="B455" s="52"/>
      <c r="C455" s="27"/>
      <c r="D455" s="27"/>
      <c r="E455" s="27"/>
    </row>
    <row r="456">
      <c r="A456" s="52"/>
      <c r="B456" s="52"/>
      <c r="C456" s="27"/>
      <c r="D456" s="27"/>
      <c r="E456" s="27"/>
    </row>
    <row r="457">
      <c r="A457" s="52"/>
      <c r="B457" s="52"/>
      <c r="C457" s="27"/>
      <c r="D457" s="27"/>
      <c r="E457" s="27"/>
    </row>
    <row r="458">
      <c r="A458" s="52"/>
      <c r="B458" s="52"/>
      <c r="C458" s="27"/>
      <c r="D458" s="27"/>
      <c r="E458" s="27"/>
    </row>
    <row r="459">
      <c r="A459" s="52"/>
      <c r="B459" s="52"/>
      <c r="C459" s="27"/>
      <c r="D459" s="27"/>
      <c r="E459" s="27"/>
    </row>
    <row r="460">
      <c r="A460" s="52"/>
      <c r="B460" s="52"/>
      <c r="C460" s="27"/>
      <c r="D460" s="27"/>
      <c r="E460" s="27"/>
    </row>
    <row r="461">
      <c r="A461" s="52"/>
      <c r="B461" s="52"/>
      <c r="C461" s="27"/>
      <c r="D461" s="27"/>
      <c r="E461" s="27"/>
    </row>
    <row r="462">
      <c r="A462" s="52"/>
      <c r="B462" s="52"/>
      <c r="C462" s="27"/>
      <c r="D462" s="27"/>
      <c r="E462" s="27"/>
    </row>
    <row r="463">
      <c r="A463" s="52"/>
      <c r="B463" s="52"/>
      <c r="C463" s="27"/>
      <c r="D463" s="27"/>
      <c r="E463" s="27"/>
    </row>
    <row r="464">
      <c r="A464" s="52"/>
      <c r="B464" s="52"/>
      <c r="C464" s="27"/>
      <c r="D464" s="27"/>
      <c r="E464" s="27"/>
    </row>
    <row r="465">
      <c r="A465" s="52"/>
      <c r="B465" s="52"/>
      <c r="C465" s="27"/>
      <c r="D465" s="27"/>
      <c r="E465" s="27"/>
    </row>
    <row r="466">
      <c r="A466" s="52"/>
      <c r="B466" s="52"/>
      <c r="C466" s="27"/>
      <c r="D466" s="27"/>
      <c r="E466" s="27"/>
    </row>
    <row r="467">
      <c r="A467" s="52"/>
      <c r="B467" s="52"/>
      <c r="C467" s="27"/>
      <c r="D467" s="27"/>
      <c r="E467" s="27"/>
    </row>
    <row r="468">
      <c r="A468" s="52"/>
      <c r="B468" s="52"/>
      <c r="C468" s="27"/>
      <c r="D468" s="27"/>
      <c r="E468" s="27"/>
    </row>
    <row r="469">
      <c r="A469" s="52"/>
      <c r="B469" s="52"/>
      <c r="C469" s="27"/>
      <c r="D469" s="27"/>
      <c r="E469" s="27"/>
    </row>
    <row r="470">
      <c r="A470" s="52"/>
      <c r="B470" s="52"/>
      <c r="C470" s="27"/>
      <c r="D470" s="27"/>
      <c r="E470" s="27"/>
    </row>
    <row r="471">
      <c r="A471" s="52"/>
      <c r="B471" s="52"/>
      <c r="C471" s="27"/>
      <c r="D471" s="27"/>
      <c r="E471" s="27"/>
    </row>
    <row r="472">
      <c r="A472" s="52"/>
      <c r="B472" s="52"/>
      <c r="C472" s="27"/>
      <c r="D472" s="27"/>
      <c r="E472" s="27"/>
    </row>
    <row r="473">
      <c r="A473" s="52"/>
      <c r="B473" s="52"/>
      <c r="C473" s="27"/>
      <c r="D473" s="27"/>
      <c r="E473" s="27"/>
    </row>
    <row r="474">
      <c r="A474" s="52"/>
      <c r="B474" s="52"/>
      <c r="C474" s="27"/>
      <c r="D474" s="27"/>
      <c r="E474" s="27"/>
    </row>
    <row r="475">
      <c r="A475" s="52"/>
      <c r="B475" s="52"/>
      <c r="C475" s="27"/>
      <c r="D475" s="27"/>
      <c r="E475" s="27"/>
    </row>
    <row r="476">
      <c r="A476" s="52"/>
      <c r="B476" s="52"/>
      <c r="C476" s="27"/>
      <c r="D476" s="27"/>
      <c r="E476" s="27"/>
    </row>
    <row r="477">
      <c r="A477" s="52"/>
      <c r="B477" s="52"/>
      <c r="C477" s="27"/>
      <c r="D477" s="27"/>
      <c r="E477" s="27"/>
    </row>
    <row r="478">
      <c r="A478" s="52"/>
      <c r="B478" s="52"/>
      <c r="C478" s="27"/>
      <c r="D478" s="27"/>
      <c r="E478" s="27"/>
    </row>
    <row r="479">
      <c r="A479" s="52"/>
      <c r="B479" s="52"/>
      <c r="C479" s="27"/>
      <c r="D479" s="27"/>
      <c r="E479" s="27"/>
    </row>
    <row r="480">
      <c r="A480" s="52"/>
      <c r="B480" s="52"/>
      <c r="C480" s="27"/>
      <c r="D480" s="27"/>
      <c r="E480" s="27"/>
    </row>
    <row r="481">
      <c r="A481" s="52"/>
      <c r="B481" s="52"/>
      <c r="C481" s="27"/>
      <c r="D481" s="27"/>
      <c r="E481" s="27"/>
    </row>
    <row r="482">
      <c r="A482" s="52"/>
      <c r="B482" s="52"/>
      <c r="C482" s="27"/>
      <c r="D482" s="27"/>
      <c r="E482" s="27"/>
    </row>
    <row r="483">
      <c r="A483" s="52"/>
      <c r="B483" s="52"/>
      <c r="C483" s="27"/>
      <c r="D483" s="27"/>
      <c r="E483" s="27"/>
    </row>
    <row r="484">
      <c r="A484" s="52"/>
      <c r="B484" s="52"/>
      <c r="C484" s="27"/>
      <c r="D484" s="27"/>
      <c r="E484" s="27"/>
    </row>
    <row r="485">
      <c r="A485" s="52"/>
      <c r="B485" s="52"/>
      <c r="C485" s="27"/>
      <c r="D485" s="27"/>
      <c r="E485" s="27"/>
    </row>
    <row r="486">
      <c r="A486" s="52"/>
      <c r="B486" s="52"/>
      <c r="C486" s="27"/>
      <c r="D486" s="27"/>
      <c r="E486" s="27"/>
    </row>
    <row r="487">
      <c r="A487" s="52"/>
      <c r="B487" s="52"/>
      <c r="C487" s="27"/>
      <c r="D487" s="27"/>
      <c r="E487" s="27"/>
    </row>
    <row r="488">
      <c r="A488" s="52"/>
      <c r="B488" s="52"/>
      <c r="C488" s="27"/>
      <c r="D488" s="27"/>
      <c r="E488" s="27"/>
    </row>
    <row r="489">
      <c r="A489" s="52"/>
      <c r="B489" s="52"/>
      <c r="C489" s="27"/>
      <c r="D489" s="27"/>
      <c r="E489" s="27"/>
    </row>
    <row r="490">
      <c r="A490" s="52"/>
      <c r="B490" s="52"/>
      <c r="C490" s="27"/>
      <c r="D490" s="27"/>
      <c r="E490" s="27"/>
    </row>
    <row r="491">
      <c r="A491" s="52"/>
      <c r="B491" s="52"/>
      <c r="C491" s="27"/>
      <c r="D491" s="27"/>
      <c r="E491" s="27"/>
    </row>
    <row r="492">
      <c r="A492" s="52"/>
      <c r="B492" s="52"/>
      <c r="C492" s="27"/>
      <c r="D492" s="27"/>
      <c r="E492" s="27"/>
    </row>
    <row r="493">
      <c r="A493" s="52"/>
      <c r="B493" s="52"/>
      <c r="C493" s="27"/>
      <c r="D493" s="27"/>
      <c r="E493" s="27"/>
    </row>
    <row r="494">
      <c r="A494" s="52"/>
      <c r="B494" s="52"/>
      <c r="C494" s="27"/>
      <c r="D494" s="27"/>
      <c r="E494" s="27"/>
    </row>
    <row r="495">
      <c r="A495" s="52"/>
      <c r="B495" s="52"/>
      <c r="C495" s="27"/>
      <c r="D495" s="27"/>
      <c r="E495" s="27"/>
    </row>
    <row r="496">
      <c r="A496" s="52"/>
      <c r="B496" s="52"/>
      <c r="C496" s="27"/>
      <c r="D496" s="27"/>
      <c r="E496" s="27"/>
    </row>
    <row r="497">
      <c r="A497" s="52"/>
      <c r="B497" s="52"/>
      <c r="C497" s="27"/>
      <c r="D497" s="27"/>
      <c r="E497" s="27"/>
    </row>
    <row r="498">
      <c r="A498" s="52"/>
      <c r="B498" s="52"/>
      <c r="C498" s="27"/>
      <c r="D498" s="27"/>
      <c r="E498" s="27"/>
    </row>
    <row r="499">
      <c r="A499" s="52"/>
      <c r="B499" s="52"/>
      <c r="C499" s="27"/>
      <c r="D499" s="27"/>
      <c r="E499" s="27"/>
    </row>
    <row r="500">
      <c r="A500" s="52"/>
      <c r="B500" s="52"/>
      <c r="C500" s="27"/>
      <c r="D500" s="27"/>
      <c r="E500" s="27"/>
    </row>
    <row r="501">
      <c r="A501" s="52"/>
      <c r="B501" s="52"/>
      <c r="C501" s="27"/>
      <c r="D501" s="27"/>
      <c r="E501" s="27"/>
    </row>
    <row r="502">
      <c r="A502" s="52"/>
      <c r="B502" s="52"/>
      <c r="C502" s="27"/>
      <c r="D502" s="27"/>
      <c r="E502" s="27"/>
    </row>
    <row r="503">
      <c r="A503" s="52"/>
      <c r="B503" s="52"/>
      <c r="C503" s="27"/>
      <c r="D503" s="27"/>
      <c r="E503" s="27"/>
    </row>
    <row r="504">
      <c r="A504" s="52"/>
      <c r="B504" s="52"/>
      <c r="C504" s="27"/>
      <c r="D504" s="27"/>
      <c r="E504" s="27"/>
    </row>
    <row r="505">
      <c r="A505" s="52"/>
      <c r="B505" s="52"/>
      <c r="C505" s="27"/>
      <c r="D505" s="27"/>
      <c r="E505" s="27"/>
    </row>
    <row r="506">
      <c r="A506" s="52"/>
      <c r="B506" s="52"/>
      <c r="C506" s="27"/>
      <c r="D506" s="27"/>
      <c r="E506" s="27"/>
    </row>
    <row r="507">
      <c r="A507" s="52"/>
      <c r="B507" s="52"/>
      <c r="C507" s="27"/>
      <c r="D507" s="27"/>
      <c r="E507" s="27"/>
    </row>
    <row r="508">
      <c r="A508" s="52"/>
      <c r="B508" s="52"/>
      <c r="C508" s="27"/>
      <c r="D508" s="27"/>
      <c r="E508" s="27"/>
    </row>
    <row r="509">
      <c r="A509" s="52"/>
      <c r="B509" s="52"/>
      <c r="C509" s="27"/>
      <c r="D509" s="27"/>
      <c r="E509" s="27"/>
    </row>
    <row r="510">
      <c r="A510" s="52"/>
      <c r="B510" s="52"/>
      <c r="C510" s="27"/>
      <c r="D510" s="27"/>
      <c r="E510" s="27"/>
    </row>
    <row r="511">
      <c r="A511" s="52"/>
      <c r="B511" s="52"/>
      <c r="C511" s="27"/>
      <c r="D511" s="27"/>
      <c r="E511" s="27"/>
    </row>
    <row r="512">
      <c r="A512" s="52"/>
      <c r="B512" s="52"/>
      <c r="C512" s="27"/>
      <c r="D512" s="27"/>
      <c r="E512" s="27"/>
    </row>
    <row r="513">
      <c r="A513" s="52"/>
      <c r="B513" s="52"/>
      <c r="C513" s="27"/>
      <c r="D513" s="27"/>
      <c r="E513" s="27"/>
    </row>
    <row r="514">
      <c r="A514" s="52"/>
      <c r="B514" s="52"/>
      <c r="C514" s="27"/>
      <c r="D514" s="27"/>
      <c r="E514" s="27"/>
    </row>
    <row r="515">
      <c r="A515" s="52"/>
      <c r="B515" s="52"/>
      <c r="C515" s="27"/>
      <c r="D515" s="27"/>
      <c r="E515" s="27"/>
    </row>
    <row r="516">
      <c r="A516" s="52"/>
      <c r="B516" s="52"/>
      <c r="C516" s="27"/>
      <c r="D516" s="27"/>
      <c r="E516" s="27"/>
    </row>
    <row r="517">
      <c r="A517" s="52"/>
      <c r="B517" s="52"/>
      <c r="C517" s="27"/>
      <c r="D517" s="27"/>
      <c r="E517" s="27"/>
    </row>
    <row r="518">
      <c r="A518" s="52"/>
      <c r="B518" s="52"/>
      <c r="C518" s="27"/>
      <c r="D518" s="27"/>
      <c r="E518" s="27"/>
    </row>
    <row r="519">
      <c r="A519" s="52"/>
      <c r="B519" s="52"/>
      <c r="C519" s="27"/>
      <c r="D519" s="27"/>
      <c r="E519" s="27"/>
    </row>
    <row r="520">
      <c r="A520" s="52"/>
      <c r="B520" s="52"/>
      <c r="C520" s="27"/>
      <c r="D520" s="27"/>
      <c r="E520" s="27"/>
    </row>
    <row r="521">
      <c r="A521" s="52"/>
      <c r="B521" s="52"/>
      <c r="C521" s="27"/>
      <c r="D521" s="27"/>
      <c r="E521" s="27"/>
    </row>
    <row r="522">
      <c r="A522" s="52"/>
      <c r="B522" s="52"/>
      <c r="C522" s="27"/>
      <c r="D522" s="27"/>
      <c r="E522" s="27"/>
    </row>
    <row r="523">
      <c r="A523" s="52"/>
      <c r="B523" s="52"/>
      <c r="C523" s="27"/>
      <c r="D523" s="27"/>
      <c r="E523" s="27"/>
    </row>
    <row r="524">
      <c r="A524" s="52"/>
      <c r="B524" s="52"/>
      <c r="C524" s="27"/>
      <c r="D524" s="27"/>
      <c r="E524" s="27"/>
    </row>
    <row r="525">
      <c r="A525" s="52"/>
      <c r="B525" s="52"/>
      <c r="C525" s="27"/>
      <c r="D525" s="27"/>
      <c r="E525" s="27"/>
    </row>
    <row r="526">
      <c r="A526" s="52"/>
      <c r="B526" s="52"/>
      <c r="C526" s="27"/>
      <c r="D526" s="27"/>
      <c r="E526" s="27"/>
    </row>
    <row r="527">
      <c r="A527" s="52"/>
      <c r="B527" s="52"/>
      <c r="C527" s="27"/>
      <c r="D527" s="27"/>
      <c r="E527" s="27"/>
    </row>
    <row r="528">
      <c r="A528" s="52"/>
      <c r="B528" s="52"/>
      <c r="C528" s="27"/>
      <c r="D528" s="27"/>
      <c r="E528" s="27"/>
    </row>
    <row r="529">
      <c r="A529" s="52"/>
      <c r="B529" s="52"/>
      <c r="C529" s="27"/>
      <c r="D529" s="27"/>
      <c r="E529" s="27"/>
    </row>
    <row r="530">
      <c r="A530" s="52"/>
      <c r="B530" s="52"/>
      <c r="C530" s="27"/>
      <c r="D530" s="27"/>
      <c r="E530" s="27"/>
    </row>
    <row r="531">
      <c r="A531" s="52"/>
      <c r="B531" s="52"/>
      <c r="C531" s="27"/>
      <c r="D531" s="27"/>
      <c r="E531" s="27"/>
    </row>
    <row r="532">
      <c r="A532" s="52"/>
      <c r="B532" s="52"/>
      <c r="C532" s="27"/>
      <c r="D532" s="27"/>
      <c r="E532" s="27"/>
    </row>
    <row r="533">
      <c r="A533" s="52"/>
      <c r="B533" s="52"/>
      <c r="C533" s="27"/>
      <c r="D533" s="27"/>
      <c r="E533" s="27"/>
    </row>
    <row r="534">
      <c r="A534" s="52"/>
      <c r="B534" s="52"/>
      <c r="C534" s="27"/>
      <c r="D534" s="27"/>
      <c r="E534" s="27"/>
    </row>
    <row r="535">
      <c r="A535" s="52"/>
      <c r="B535" s="52"/>
      <c r="C535" s="27"/>
      <c r="D535" s="27"/>
      <c r="E535" s="27"/>
    </row>
    <row r="536">
      <c r="A536" s="52"/>
      <c r="B536" s="52"/>
      <c r="C536" s="27"/>
      <c r="D536" s="27"/>
      <c r="E536" s="27"/>
    </row>
    <row r="537">
      <c r="A537" s="52"/>
      <c r="B537" s="52"/>
      <c r="C537" s="27"/>
      <c r="D537" s="27"/>
      <c r="E537" s="27"/>
    </row>
    <row r="538">
      <c r="A538" s="52"/>
      <c r="B538" s="52"/>
      <c r="C538" s="27"/>
      <c r="D538" s="27"/>
      <c r="E538" s="27"/>
    </row>
    <row r="539">
      <c r="A539" s="52"/>
      <c r="B539" s="52"/>
      <c r="C539" s="27"/>
      <c r="D539" s="27"/>
      <c r="E539" s="27"/>
    </row>
    <row r="540">
      <c r="A540" s="52"/>
      <c r="B540" s="52"/>
      <c r="C540" s="27"/>
      <c r="D540" s="27"/>
      <c r="E540" s="27"/>
    </row>
    <row r="541">
      <c r="A541" s="52"/>
      <c r="B541" s="52"/>
      <c r="C541" s="27"/>
      <c r="D541" s="27"/>
      <c r="E541" s="27"/>
    </row>
    <row r="542">
      <c r="A542" s="52"/>
      <c r="B542" s="52"/>
      <c r="C542" s="27"/>
      <c r="D542" s="27"/>
      <c r="E542" s="27"/>
    </row>
    <row r="543">
      <c r="A543" s="52"/>
      <c r="B543" s="52"/>
      <c r="C543" s="27"/>
      <c r="D543" s="27"/>
      <c r="E543" s="27"/>
    </row>
    <row r="544">
      <c r="A544" s="52"/>
      <c r="B544" s="52"/>
      <c r="C544" s="27"/>
      <c r="D544" s="27"/>
      <c r="E544" s="27"/>
    </row>
    <row r="545">
      <c r="A545" s="52"/>
      <c r="B545" s="52"/>
      <c r="C545" s="27"/>
      <c r="D545" s="27"/>
      <c r="E545" s="27"/>
    </row>
    <row r="546">
      <c r="A546" s="52"/>
      <c r="B546" s="52"/>
      <c r="C546" s="27"/>
      <c r="D546" s="27"/>
      <c r="E546" s="27"/>
    </row>
    <row r="547">
      <c r="A547" s="52"/>
      <c r="B547" s="52"/>
      <c r="C547" s="27"/>
      <c r="D547" s="27"/>
      <c r="E547" s="27"/>
    </row>
    <row r="548">
      <c r="A548" s="52"/>
      <c r="B548" s="52"/>
      <c r="C548" s="27"/>
      <c r="D548" s="27"/>
      <c r="E548" s="27"/>
    </row>
    <row r="549">
      <c r="A549" s="52"/>
      <c r="B549" s="52"/>
      <c r="C549" s="27"/>
      <c r="D549" s="27"/>
      <c r="E549" s="27"/>
    </row>
    <row r="550">
      <c r="A550" s="52"/>
      <c r="B550" s="52"/>
      <c r="C550" s="27"/>
      <c r="D550" s="27"/>
      <c r="E550" s="27"/>
    </row>
    <row r="551">
      <c r="A551" s="52"/>
      <c r="B551" s="52"/>
      <c r="C551" s="27"/>
      <c r="D551" s="27"/>
      <c r="E551" s="27"/>
    </row>
    <row r="552">
      <c r="A552" s="52"/>
      <c r="B552" s="52"/>
      <c r="C552" s="27"/>
      <c r="D552" s="27"/>
      <c r="E552" s="27"/>
    </row>
    <row r="553">
      <c r="A553" s="52"/>
      <c r="B553" s="52"/>
      <c r="C553" s="27"/>
      <c r="D553" s="27"/>
      <c r="E553" s="27"/>
    </row>
    <row r="554">
      <c r="A554" s="52"/>
      <c r="B554" s="52"/>
      <c r="C554" s="27"/>
      <c r="D554" s="27"/>
      <c r="E554" s="27"/>
    </row>
    <row r="555">
      <c r="A555" s="52"/>
      <c r="B555" s="52"/>
      <c r="C555" s="27"/>
      <c r="D555" s="27"/>
      <c r="E555" s="27"/>
    </row>
    <row r="556">
      <c r="A556" s="52"/>
      <c r="B556" s="52"/>
      <c r="C556" s="27"/>
      <c r="D556" s="27"/>
      <c r="E556" s="27"/>
    </row>
    <row r="557">
      <c r="A557" s="52"/>
      <c r="B557" s="52"/>
      <c r="C557" s="27"/>
      <c r="D557" s="27"/>
      <c r="E557" s="27"/>
    </row>
    <row r="558">
      <c r="A558" s="52"/>
      <c r="B558" s="52"/>
      <c r="C558" s="27"/>
      <c r="D558" s="27"/>
      <c r="E558" s="27"/>
    </row>
    <row r="559">
      <c r="A559" s="52"/>
      <c r="B559" s="52"/>
      <c r="C559" s="27"/>
      <c r="D559" s="27"/>
      <c r="E559" s="27"/>
    </row>
    <row r="560">
      <c r="A560" s="52"/>
      <c r="B560" s="52"/>
      <c r="C560" s="27"/>
      <c r="D560" s="27"/>
      <c r="E560" s="27"/>
    </row>
    <row r="561">
      <c r="A561" s="52"/>
      <c r="B561" s="52"/>
      <c r="C561" s="27"/>
      <c r="D561" s="27"/>
      <c r="E561" s="27"/>
    </row>
    <row r="562">
      <c r="A562" s="52"/>
      <c r="B562" s="52"/>
      <c r="C562" s="27"/>
      <c r="D562" s="27"/>
      <c r="E562" s="27"/>
    </row>
    <row r="563">
      <c r="A563" s="52"/>
      <c r="B563" s="52"/>
      <c r="C563" s="27"/>
      <c r="D563" s="27"/>
      <c r="E563" s="27"/>
    </row>
    <row r="564">
      <c r="A564" s="52"/>
      <c r="B564" s="52"/>
      <c r="C564" s="27"/>
      <c r="D564" s="27"/>
      <c r="E564" s="27"/>
    </row>
    <row r="565">
      <c r="A565" s="52"/>
      <c r="B565" s="52"/>
      <c r="C565" s="27"/>
      <c r="D565" s="27"/>
      <c r="E565" s="27"/>
    </row>
    <row r="566">
      <c r="A566" s="52"/>
      <c r="B566" s="52"/>
      <c r="C566" s="27"/>
      <c r="D566" s="27"/>
      <c r="E566" s="27"/>
    </row>
    <row r="567">
      <c r="A567" s="52"/>
      <c r="B567" s="52"/>
      <c r="C567" s="27"/>
      <c r="D567" s="27"/>
      <c r="E567" s="27"/>
    </row>
    <row r="568">
      <c r="A568" s="52"/>
      <c r="B568" s="52"/>
      <c r="C568" s="27"/>
      <c r="D568" s="27"/>
      <c r="E568" s="27"/>
    </row>
    <row r="569">
      <c r="A569" s="52"/>
      <c r="B569" s="52"/>
      <c r="C569" s="27"/>
      <c r="D569" s="27"/>
      <c r="E569" s="27"/>
    </row>
    <row r="570">
      <c r="A570" s="52"/>
      <c r="B570" s="52"/>
      <c r="C570" s="27"/>
      <c r="D570" s="27"/>
      <c r="E570" s="27"/>
    </row>
    <row r="571">
      <c r="A571" s="52"/>
      <c r="B571" s="52"/>
      <c r="C571" s="27"/>
      <c r="D571" s="27"/>
      <c r="E571" s="27"/>
    </row>
    <row r="572">
      <c r="A572" s="52"/>
      <c r="B572" s="52"/>
      <c r="C572" s="27"/>
      <c r="D572" s="27"/>
      <c r="E572" s="27"/>
    </row>
    <row r="573">
      <c r="A573" s="52"/>
      <c r="B573" s="52"/>
      <c r="C573" s="27"/>
      <c r="D573" s="27"/>
      <c r="E573" s="27"/>
    </row>
    <row r="574">
      <c r="A574" s="52"/>
      <c r="B574" s="52"/>
      <c r="C574" s="27"/>
      <c r="D574" s="27"/>
      <c r="E574" s="27"/>
    </row>
    <row r="575">
      <c r="A575" s="52"/>
      <c r="B575" s="52"/>
      <c r="C575" s="27"/>
      <c r="D575" s="27"/>
      <c r="E575" s="27"/>
    </row>
    <row r="576">
      <c r="A576" s="52"/>
      <c r="B576" s="52"/>
      <c r="C576" s="27"/>
      <c r="D576" s="27"/>
      <c r="E576" s="27"/>
    </row>
    <row r="577">
      <c r="A577" s="52"/>
      <c r="B577" s="52"/>
      <c r="C577" s="27"/>
      <c r="D577" s="27"/>
      <c r="E577" s="27"/>
    </row>
    <row r="578">
      <c r="A578" s="52"/>
      <c r="B578" s="52"/>
      <c r="C578" s="27"/>
      <c r="D578" s="27"/>
      <c r="E578" s="27"/>
    </row>
    <row r="579">
      <c r="A579" s="52"/>
      <c r="B579" s="52"/>
      <c r="C579" s="27"/>
      <c r="D579" s="27"/>
      <c r="E579" s="27"/>
    </row>
    <row r="580">
      <c r="A580" s="52"/>
      <c r="B580" s="52"/>
      <c r="C580" s="27"/>
      <c r="D580" s="27"/>
      <c r="E580" s="27"/>
    </row>
    <row r="581">
      <c r="A581" s="52"/>
      <c r="B581" s="52"/>
      <c r="C581" s="27"/>
      <c r="D581" s="27"/>
      <c r="E581" s="27"/>
    </row>
    <row r="582">
      <c r="A582" s="52"/>
      <c r="B582" s="52"/>
      <c r="C582" s="27"/>
      <c r="D582" s="27"/>
      <c r="E582" s="27"/>
    </row>
    <row r="583">
      <c r="A583" s="52"/>
      <c r="B583" s="52"/>
      <c r="C583" s="27"/>
      <c r="D583" s="27"/>
      <c r="E583" s="27"/>
    </row>
    <row r="584">
      <c r="A584" s="52"/>
      <c r="B584" s="52"/>
      <c r="C584" s="27"/>
      <c r="D584" s="27"/>
      <c r="E584" s="27"/>
    </row>
    <row r="585">
      <c r="A585" s="52"/>
      <c r="B585" s="52"/>
      <c r="C585" s="27"/>
      <c r="D585" s="27"/>
      <c r="E585" s="27"/>
    </row>
    <row r="586">
      <c r="A586" s="52"/>
      <c r="B586" s="52"/>
      <c r="C586" s="27"/>
      <c r="D586" s="27"/>
      <c r="E586" s="27"/>
    </row>
    <row r="587">
      <c r="A587" s="52"/>
      <c r="B587" s="52"/>
      <c r="C587" s="27"/>
      <c r="D587" s="27"/>
      <c r="E587" s="27"/>
    </row>
    <row r="588">
      <c r="A588" s="52"/>
      <c r="B588" s="52"/>
      <c r="C588" s="27"/>
      <c r="D588" s="27"/>
      <c r="E588" s="27"/>
    </row>
    <row r="589">
      <c r="A589" s="52"/>
      <c r="B589" s="52"/>
      <c r="C589" s="27"/>
      <c r="D589" s="27"/>
      <c r="E589" s="27"/>
    </row>
    <row r="590">
      <c r="A590" s="52"/>
      <c r="B590" s="52"/>
      <c r="C590" s="27"/>
      <c r="D590" s="27"/>
      <c r="E590" s="27"/>
    </row>
    <row r="591">
      <c r="A591" s="52"/>
      <c r="B591" s="52"/>
      <c r="C591" s="27"/>
      <c r="D591" s="27"/>
      <c r="E591" s="27"/>
    </row>
    <row r="592">
      <c r="A592" s="52"/>
      <c r="B592" s="52"/>
      <c r="C592" s="27"/>
      <c r="D592" s="27"/>
      <c r="E592" s="27"/>
    </row>
    <row r="593">
      <c r="A593" s="52"/>
      <c r="B593" s="52"/>
      <c r="C593" s="27"/>
      <c r="D593" s="27"/>
      <c r="E593" s="27"/>
    </row>
    <row r="594">
      <c r="A594" s="52"/>
      <c r="B594" s="52"/>
      <c r="C594" s="27"/>
      <c r="D594" s="27"/>
      <c r="E594" s="27"/>
    </row>
    <row r="595">
      <c r="A595" s="52"/>
      <c r="B595" s="52"/>
      <c r="C595" s="27"/>
      <c r="D595" s="27"/>
      <c r="E595" s="27"/>
    </row>
    <row r="596">
      <c r="A596" s="52"/>
      <c r="B596" s="52"/>
      <c r="C596" s="27"/>
      <c r="D596" s="27"/>
      <c r="E596" s="27"/>
    </row>
    <row r="597">
      <c r="A597" s="52"/>
      <c r="B597" s="52"/>
      <c r="C597" s="27"/>
      <c r="D597" s="27"/>
      <c r="E597" s="27"/>
    </row>
    <row r="598">
      <c r="A598" s="52"/>
      <c r="B598" s="52"/>
      <c r="C598" s="27"/>
      <c r="D598" s="27"/>
      <c r="E598" s="27"/>
    </row>
    <row r="599">
      <c r="A599" s="52"/>
      <c r="B599" s="52"/>
      <c r="C599" s="27"/>
      <c r="D599" s="27"/>
      <c r="E599" s="27"/>
    </row>
    <row r="600">
      <c r="A600" s="52"/>
      <c r="B600" s="52"/>
      <c r="C600" s="27"/>
      <c r="D600" s="27"/>
      <c r="E600" s="27"/>
    </row>
    <row r="601">
      <c r="A601" s="52"/>
      <c r="B601" s="52"/>
      <c r="C601" s="27"/>
      <c r="D601" s="27"/>
      <c r="E601" s="27"/>
    </row>
    <row r="602">
      <c r="A602" s="52"/>
      <c r="B602" s="52"/>
      <c r="C602" s="27"/>
      <c r="D602" s="27"/>
      <c r="E602" s="27"/>
    </row>
    <row r="603">
      <c r="A603" s="52"/>
      <c r="B603" s="52"/>
      <c r="C603" s="27"/>
      <c r="D603" s="27"/>
      <c r="E603" s="27"/>
    </row>
    <row r="604">
      <c r="A604" s="52"/>
      <c r="B604" s="52"/>
      <c r="C604" s="27"/>
      <c r="D604" s="27"/>
      <c r="E604" s="27"/>
    </row>
    <row r="605">
      <c r="A605" s="52"/>
      <c r="B605" s="52"/>
      <c r="C605" s="27"/>
      <c r="D605" s="27"/>
      <c r="E605" s="27"/>
    </row>
    <row r="606">
      <c r="A606" s="52"/>
      <c r="B606" s="52"/>
      <c r="C606" s="27"/>
      <c r="D606" s="27"/>
      <c r="E606" s="27"/>
    </row>
    <row r="607">
      <c r="A607" s="52"/>
      <c r="B607" s="52"/>
      <c r="C607" s="27"/>
      <c r="D607" s="27"/>
      <c r="E607" s="27"/>
    </row>
    <row r="608">
      <c r="A608" s="52"/>
      <c r="B608" s="52"/>
      <c r="C608" s="27"/>
      <c r="D608" s="27"/>
      <c r="E608" s="27"/>
    </row>
    <row r="609">
      <c r="A609" s="52"/>
      <c r="B609" s="52"/>
      <c r="C609" s="27"/>
      <c r="D609" s="27"/>
      <c r="E609" s="27"/>
    </row>
    <row r="610">
      <c r="A610" s="52"/>
      <c r="B610" s="52"/>
      <c r="C610" s="27"/>
      <c r="D610" s="27"/>
      <c r="E610" s="27"/>
    </row>
    <row r="611">
      <c r="A611" s="52"/>
      <c r="B611" s="52"/>
      <c r="C611" s="27"/>
      <c r="D611" s="27"/>
      <c r="E611" s="27"/>
    </row>
    <row r="612">
      <c r="A612" s="52"/>
      <c r="B612" s="52"/>
      <c r="C612" s="27"/>
      <c r="D612" s="27"/>
      <c r="E612" s="27"/>
    </row>
    <row r="613">
      <c r="A613" s="52"/>
      <c r="B613" s="52"/>
      <c r="C613" s="27"/>
      <c r="D613" s="27"/>
      <c r="E613" s="27"/>
    </row>
    <row r="614">
      <c r="A614" s="52"/>
      <c r="B614" s="52"/>
      <c r="C614" s="27"/>
      <c r="D614" s="27"/>
      <c r="E614" s="27"/>
    </row>
    <row r="615">
      <c r="A615" s="52"/>
      <c r="B615" s="52"/>
      <c r="C615" s="27"/>
      <c r="D615" s="27"/>
      <c r="E615" s="27"/>
    </row>
    <row r="616">
      <c r="A616" s="52"/>
      <c r="B616" s="52"/>
      <c r="C616" s="27"/>
      <c r="D616" s="27"/>
      <c r="E616" s="27"/>
    </row>
    <row r="617">
      <c r="A617" s="52"/>
      <c r="B617" s="52"/>
      <c r="C617" s="27"/>
      <c r="D617" s="27"/>
      <c r="E617" s="27"/>
    </row>
    <row r="618">
      <c r="A618" s="52"/>
      <c r="B618" s="52"/>
      <c r="C618" s="27"/>
      <c r="D618" s="27"/>
      <c r="E618" s="27"/>
    </row>
    <row r="619">
      <c r="A619" s="52"/>
      <c r="B619" s="52"/>
      <c r="C619" s="27"/>
      <c r="D619" s="27"/>
      <c r="E619" s="27"/>
    </row>
    <row r="620">
      <c r="A620" s="52"/>
      <c r="B620" s="52"/>
      <c r="C620" s="27"/>
      <c r="D620" s="27"/>
      <c r="E620" s="27"/>
    </row>
    <row r="621">
      <c r="A621" s="52"/>
      <c r="B621" s="52"/>
      <c r="C621" s="27"/>
      <c r="D621" s="27"/>
      <c r="E621" s="27"/>
    </row>
    <row r="622">
      <c r="A622" s="52"/>
      <c r="B622" s="52"/>
      <c r="C622" s="27"/>
      <c r="D622" s="27"/>
      <c r="E622" s="27"/>
    </row>
    <row r="623">
      <c r="A623" s="52"/>
      <c r="B623" s="52"/>
      <c r="C623" s="27"/>
      <c r="D623" s="27"/>
      <c r="E623" s="27"/>
    </row>
    <row r="624">
      <c r="A624" s="52"/>
      <c r="B624" s="52"/>
      <c r="C624" s="27"/>
      <c r="D624" s="27"/>
      <c r="E624" s="27"/>
    </row>
    <row r="625">
      <c r="A625" s="52"/>
      <c r="B625" s="52"/>
      <c r="C625" s="27"/>
      <c r="D625" s="27"/>
      <c r="E625" s="27"/>
    </row>
    <row r="626">
      <c r="A626" s="52"/>
      <c r="B626" s="52"/>
      <c r="C626" s="27"/>
      <c r="D626" s="27"/>
      <c r="E626" s="27"/>
    </row>
    <row r="627">
      <c r="A627" s="52"/>
      <c r="B627" s="52"/>
      <c r="C627" s="27"/>
      <c r="D627" s="27"/>
      <c r="E627" s="27"/>
    </row>
    <row r="628">
      <c r="A628" s="52"/>
      <c r="B628" s="52"/>
      <c r="C628" s="27"/>
      <c r="D628" s="27"/>
      <c r="E628" s="27"/>
    </row>
    <row r="629">
      <c r="A629" s="52"/>
      <c r="B629" s="52"/>
      <c r="C629" s="27"/>
      <c r="D629" s="27"/>
      <c r="E629" s="27"/>
    </row>
    <row r="630">
      <c r="A630" s="52"/>
      <c r="B630" s="52"/>
      <c r="C630" s="27"/>
      <c r="D630" s="27"/>
      <c r="E630" s="27"/>
    </row>
    <row r="631">
      <c r="A631" s="52"/>
      <c r="B631" s="52"/>
      <c r="C631" s="27"/>
      <c r="D631" s="27"/>
      <c r="E631" s="27"/>
    </row>
    <row r="632">
      <c r="A632" s="52"/>
      <c r="B632" s="52"/>
      <c r="C632" s="27"/>
      <c r="D632" s="27"/>
      <c r="E632" s="27"/>
    </row>
    <row r="633">
      <c r="A633" s="52"/>
      <c r="B633" s="52"/>
      <c r="C633" s="27"/>
      <c r="D633" s="27"/>
      <c r="E633" s="27"/>
    </row>
    <row r="634">
      <c r="A634" s="52"/>
      <c r="B634" s="52"/>
      <c r="C634" s="27"/>
      <c r="D634" s="27"/>
      <c r="E634" s="27"/>
    </row>
    <row r="635">
      <c r="A635" s="52"/>
      <c r="B635" s="52"/>
      <c r="C635" s="27"/>
      <c r="D635" s="27"/>
      <c r="E635" s="27"/>
    </row>
    <row r="636">
      <c r="A636" s="52"/>
      <c r="B636" s="52"/>
      <c r="C636" s="27"/>
      <c r="D636" s="27"/>
      <c r="E636" s="27"/>
    </row>
    <row r="637">
      <c r="A637" s="52"/>
      <c r="B637" s="52"/>
      <c r="C637" s="27"/>
      <c r="D637" s="27"/>
      <c r="E637" s="27"/>
    </row>
    <row r="638">
      <c r="A638" s="52"/>
      <c r="B638" s="52"/>
      <c r="C638" s="27"/>
      <c r="D638" s="27"/>
      <c r="E638" s="27"/>
    </row>
    <row r="639">
      <c r="A639" s="52"/>
      <c r="B639" s="52"/>
      <c r="C639" s="27"/>
      <c r="D639" s="27"/>
      <c r="E639" s="27"/>
    </row>
    <row r="640">
      <c r="A640" s="52"/>
      <c r="B640" s="52"/>
      <c r="C640" s="27"/>
      <c r="D640" s="27"/>
      <c r="E640" s="27"/>
    </row>
    <row r="641">
      <c r="A641" s="52"/>
      <c r="B641" s="52"/>
      <c r="C641" s="27"/>
      <c r="D641" s="27"/>
      <c r="E641" s="27"/>
    </row>
    <row r="642">
      <c r="A642" s="52"/>
      <c r="B642" s="52"/>
      <c r="C642" s="27"/>
      <c r="D642" s="27"/>
      <c r="E642" s="27"/>
    </row>
    <row r="643">
      <c r="A643" s="52"/>
      <c r="B643" s="52"/>
      <c r="C643" s="27"/>
      <c r="D643" s="27"/>
      <c r="E643" s="27"/>
    </row>
    <row r="644">
      <c r="A644" s="52"/>
      <c r="B644" s="52"/>
      <c r="C644" s="27"/>
      <c r="D644" s="27"/>
      <c r="E644" s="27"/>
    </row>
    <row r="645">
      <c r="A645" s="52"/>
      <c r="B645" s="52"/>
      <c r="C645" s="27"/>
      <c r="D645" s="27"/>
      <c r="E645" s="27"/>
    </row>
    <row r="646">
      <c r="A646" s="52"/>
      <c r="B646" s="52"/>
      <c r="C646" s="27"/>
      <c r="D646" s="27"/>
      <c r="E646" s="27"/>
    </row>
    <row r="647">
      <c r="A647" s="52"/>
      <c r="B647" s="52"/>
      <c r="C647" s="27"/>
      <c r="D647" s="27"/>
      <c r="E647" s="27"/>
    </row>
    <row r="648">
      <c r="A648" s="52"/>
      <c r="B648" s="52"/>
      <c r="C648" s="27"/>
      <c r="D648" s="27"/>
      <c r="E648" s="27"/>
    </row>
    <row r="649">
      <c r="A649" s="52"/>
      <c r="B649" s="52"/>
      <c r="C649" s="27"/>
      <c r="D649" s="27"/>
      <c r="E649" s="27"/>
    </row>
    <row r="650">
      <c r="A650" s="52"/>
      <c r="B650" s="52"/>
      <c r="C650" s="27"/>
      <c r="D650" s="27"/>
      <c r="E650" s="27"/>
    </row>
    <row r="651">
      <c r="A651" s="52"/>
      <c r="B651" s="52"/>
      <c r="C651" s="27"/>
      <c r="D651" s="27"/>
      <c r="E651" s="27"/>
    </row>
    <row r="652">
      <c r="A652" s="52"/>
      <c r="B652" s="52"/>
      <c r="C652" s="27"/>
      <c r="D652" s="27"/>
      <c r="E652" s="27"/>
    </row>
    <row r="653">
      <c r="A653" s="52"/>
      <c r="B653" s="52"/>
      <c r="C653" s="27"/>
      <c r="D653" s="27"/>
      <c r="E653" s="27"/>
    </row>
    <row r="654">
      <c r="A654" s="52"/>
      <c r="B654" s="52"/>
      <c r="C654" s="27"/>
      <c r="D654" s="27"/>
      <c r="E654" s="27"/>
    </row>
    <row r="655">
      <c r="A655" s="52"/>
      <c r="B655" s="52"/>
      <c r="C655" s="27"/>
      <c r="D655" s="27"/>
      <c r="E655" s="27"/>
    </row>
    <row r="656">
      <c r="A656" s="52"/>
      <c r="B656" s="52"/>
      <c r="C656" s="27"/>
      <c r="D656" s="27"/>
      <c r="E656" s="27"/>
    </row>
    <row r="657">
      <c r="A657" s="52"/>
      <c r="B657" s="52"/>
      <c r="C657" s="27"/>
      <c r="D657" s="27"/>
      <c r="E657" s="27"/>
    </row>
    <row r="658">
      <c r="A658" s="52"/>
      <c r="B658" s="52"/>
      <c r="C658" s="27"/>
      <c r="D658" s="27"/>
      <c r="E658" s="27"/>
    </row>
    <row r="659">
      <c r="A659" s="52"/>
      <c r="B659" s="52"/>
      <c r="C659" s="27"/>
      <c r="D659" s="27"/>
      <c r="E659" s="27"/>
    </row>
    <row r="660">
      <c r="A660" s="52"/>
      <c r="B660" s="52"/>
      <c r="C660" s="27"/>
      <c r="D660" s="27"/>
      <c r="E660" s="27"/>
    </row>
    <row r="661">
      <c r="A661" s="52"/>
      <c r="B661" s="52"/>
      <c r="C661" s="27"/>
      <c r="D661" s="27"/>
      <c r="E661" s="27"/>
    </row>
    <row r="662">
      <c r="A662" s="52"/>
      <c r="B662" s="52"/>
      <c r="C662" s="27"/>
      <c r="D662" s="27"/>
      <c r="E662" s="27"/>
    </row>
    <row r="663">
      <c r="A663" s="52"/>
      <c r="B663" s="52"/>
      <c r="C663" s="27"/>
      <c r="D663" s="27"/>
      <c r="E663" s="27"/>
    </row>
    <row r="664">
      <c r="A664" s="52"/>
      <c r="B664" s="52"/>
      <c r="C664" s="27"/>
      <c r="D664" s="27"/>
      <c r="E664" s="27"/>
    </row>
    <row r="665">
      <c r="A665" s="52"/>
      <c r="B665" s="52"/>
      <c r="C665" s="27"/>
      <c r="D665" s="27"/>
      <c r="E665" s="27"/>
    </row>
    <row r="666">
      <c r="A666" s="52"/>
      <c r="B666" s="52"/>
      <c r="C666" s="27"/>
      <c r="D666" s="27"/>
      <c r="E666" s="27"/>
    </row>
    <row r="667">
      <c r="A667" s="52"/>
      <c r="B667" s="52"/>
      <c r="C667" s="27"/>
      <c r="D667" s="27"/>
      <c r="E667" s="27"/>
    </row>
    <row r="668">
      <c r="A668" s="52"/>
      <c r="B668" s="52"/>
      <c r="C668" s="27"/>
      <c r="D668" s="27"/>
      <c r="E668" s="27"/>
    </row>
    <row r="669">
      <c r="A669" s="52"/>
      <c r="B669" s="52"/>
      <c r="C669" s="27"/>
      <c r="D669" s="27"/>
      <c r="E669" s="27"/>
    </row>
    <row r="670">
      <c r="A670" s="52"/>
      <c r="B670" s="52"/>
      <c r="C670" s="27"/>
      <c r="D670" s="27"/>
      <c r="E670" s="27"/>
    </row>
    <row r="671">
      <c r="A671" s="52"/>
      <c r="B671" s="52"/>
      <c r="C671" s="27"/>
      <c r="D671" s="27"/>
      <c r="E671" s="27"/>
    </row>
    <row r="672">
      <c r="A672" s="52"/>
      <c r="B672" s="52"/>
      <c r="C672" s="27"/>
      <c r="D672" s="27"/>
      <c r="E672" s="27"/>
    </row>
    <row r="673">
      <c r="A673" s="52"/>
      <c r="B673" s="52"/>
      <c r="C673" s="27"/>
      <c r="D673" s="27"/>
      <c r="E673" s="27"/>
    </row>
    <row r="674">
      <c r="A674" s="52"/>
      <c r="B674" s="52"/>
      <c r="C674" s="27"/>
      <c r="D674" s="27"/>
      <c r="E674" s="27"/>
    </row>
    <row r="675">
      <c r="A675" s="52"/>
      <c r="B675" s="52"/>
      <c r="C675" s="27"/>
      <c r="D675" s="27"/>
      <c r="E675" s="27"/>
    </row>
    <row r="676">
      <c r="A676" s="52"/>
      <c r="B676" s="52"/>
      <c r="C676" s="27"/>
      <c r="D676" s="27"/>
      <c r="E676" s="27"/>
    </row>
    <row r="677">
      <c r="A677" s="52"/>
      <c r="B677" s="52"/>
      <c r="C677" s="27"/>
      <c r="D677" s="27"/>
      <c r="E677" s="27"/>
    </row>
    <row r="678">
      <c r="A678" s="52"/>
      <c r="B678" s="52"/>
      <c r="C678" s="27"/>
      <c r="D678" s="27"/>
      <c r="E678" s="27"/>
    </row>
    <row r="679">
      <c r="A679" s="52"/>
      <c r="B679" s="52"/>
      <c r="C679" s="27"/>
      <c r="D679" s="27"/>
      <c r="E679" s="27"/>
    </row>
    <row r="680">
      <c r="A680" s="52"/>
      <c r="B680" s="52"/>
      <c r="C680" s="27"/>
      <c r="D680" s="27"/>
      <c r="E680" s="27"/>
    </row>
    <row r="681">
      <c r="A681" s="52"/>
      <c r="B681" s="52"/>
      <c r="C681" s="27"/>
      <c r="D681" s="27"/>
      <c r="E681" s="27"/>
    </row>
    <row r="682">
      <c r="A682" s="52"/>
      <c r="B682" s="52"/>
      <c r="C682" s="27"/>
      <c r="D682" s="27"/>
      <c r="E682" s="27"/>
    </row>
    <row r="683">
      <c r="A683" s="52"/>
      <c r="B683" s="52"/>
      <c r="C683" s="27"/>
      <c r="D683" s="27"/>
      <c r="E683" s="27"/>
    </row>
    <row r="684">
      <c r="A684" s="52"/>
      <c r="B684" s="52"/>
      <c r="C684" s="27"/>
      <c r="D684" s="27"/>
      <c r="E684" s="27"/>
    </row>
    <row r="685">
      <c r="A685" s="52"/>
      <c r="B685" s="52"/>
      <c r="C685" s="27"/>
      <c r="D685" s="27"/>
      <c r="E685" s="27"/>
    </row>
    <row r="686">
      <c r="A686" s="52"/>
      <c r="B686" s="52"/>
      <c r="C686" s="27"/>
      <c r="D686" s="27"/>
      <c r="E686" s="27"/>
    </row>
    <row r="687">
      <c r="A687" s="52"/>
      <c r="B687" s="52"/>
      <c r="C687" s="27"/>
      <c r="D687" s="27"/>
      <c r="E687" s="27"/>
    </row>
    <row r="688">
      <c r="A688" s="52"/>
      <c r="B688" s="52"/>
      <c r="C688" s="27"/>
      <c r="D688" s="27"/>
      <c r="E688" s="27"/>
    </row>
    <row r="689">
      <c r="A689" s="52"/>
      <c r="B689" s="52"/>
      <c r="C689" s="27"/>
      <c r="D689" s="27"/>
      <c r="E689" s="27"/>
    </row>
    <row r="690">
      <c r="A690" s="52"/>
      <c r="B690" s="52"/>
      <c r="C690" s="27"/>
      <c r="D690" s="27"/>
      <c r="E690" s="27"/>
    </row>
    <row r="691">
      <c r="A691" s="52"/>
      <c r="B691" s="52"/>
      <c r="C691" s="27"/>
      <c r="D691" s="27"/>
      <c r="E691" s="27"/>
    </row>
    <row r="692">
      <c r="A692" s="52"/>
      <c r="B692" s="52"/>
      <c r="C692" s="27"/>
      <c r="D692" s="27"/>
      <c r="E692" s="27"/>
    </row>
    <row r="693">
      <c r="A693" s="52"/>
      <c r="B693" s="52"/>
      <c r="C693" s="27"/>
      <c r="D693" s="27"/>
      <c r="E693" s="27"/>
    </row>
    <row r="694">
      <c r="A694" s="52"/>
      <c r="B694" s="52"/>
      <c r="C694" s="27"/>
      <c r="D694" s="27"/>
      <c r="E694" s="27"/>
    </row>
    <row r="695">
      <c r="A695" s="52"/>
      <c r="B695" s="52"/>
      <c r="C695" s="27"/>
      <c r="D695" s="27"/>
      <c r="E695" s="27"/>
    </row>
    <row r="696">
      <c r="A696" s="52"/>
      <c r="B696" s="52"/>
      <c r="C696" s="27"/>
      <c r="D696" s="27"/>
      <c r="E696" s="27"/>
    </row>
    <row r="697">
      <c r="A697" s="52"/>
      <c r="B697" s="52"/>
      <c r="C697" s="27"/>
      <c r="D697" s="27"/>
      <c r="E697" s="27"/>
    </row>
    <row r="698">
      <c r="A698" s="52"/>
      <c r="B698" s="52"/>
      <c r="C698" s="27"/>
      <c r="D698" s="27"/>
      <c r="E698" s="27"/>
    </row>
    <row r="699">
      <c r="A699" s="52"/>
      <c r="B699" s="52"/>
      <c r="C699" s="27"/>
      <c r="D699" s="27"/>
      <c r="E699" s="27"/>
    </row>
    <row r="700">
      <c r="A700" s="52"/>
      <c r="B700" s="52"/>
      <c r="C700" s="27"/>
      <c r="D700" s="27"/>
      <c r="E700" s="27"/>
    </row>
    <row r="701">
      <c r="A701" s="52"/>
      <c r="B701" s="52"/>
      <c r="C701" s="27"/>
      <c r="D701" s="27"/>
      <c r="E701" s="27"/>
    </row>
    <row r="702">
      <c r="A702" s="52"/>
      <c r="B702" s="52"/>
      <c r="C702" s="27"/>
      <c r="D702" s="27"/>
      <c r="E702" s="27"/>
    </row>
    <row r="703">
      <c r="A703" s="52"/>
      <c r="B703" s="52"/>
      <c r="C703" s="27"/>
      <c r="D703" s="27"/>
      <c r="E703" s="27"/>
    </row>
    <row r="704">
      <c r="A704" s="52"/>
      <c r="B704" s="52"/>
      <c r="C704" s="27"/>
      <c r="D704" s="27"/>
      <c r="E704" s="27"/>
    </row>
    <row r="705">
      <c r="A705" s="52"/>
      <c r="B705" s="52"/>
      <c r="C705" s="27"/>
      <c r="D705" s="27"/>
      <c r="E705" s="27"/>
    </row>
    <row r="706">
      <c r="A706" s="52"/>
      <c r="B706" s="52"/>
      <c r="C706" s="27"/>
      <c r="D706" s="27"/>
      <c r="E706" s="27"/>
    </row>
    <row r="707">
      <c r="A707" s="52"/>
      <c r="B707" s="52"/>
      <c r="C707" s="27"/>
      <c r="D707" s="27"/>
      <c r="E707" s="27"/>
    </row>
    <row r="708">
      <c r="A708" s="52"/>
      <c r="B708" s="52"/>
      <c r="C708" s="27"/>
      <c r="D708" s="27"/>
      <c r="E708" s="27"/>
    </row>
    <row r="709">
      <c r="A709" s="52"/>
      <c r="B709" s="52"/>
      <c r="C709" s="27"/>
      <c r="D709" s="27"/>
      <c r="E709" s="27"/>
    </row>
    <row r="710">
      <c r="A710" s="52"/>
      <c r="B710" s="52"/>
      <c r="C710" s="27"/>
      <c r="D710" s="27"/>
      <c r="E710" s="27"/>
    </row>
    <row r="711">
      <c r="A711" s="52"/>
      <c r="B711" s="52"/>
      <c r="C711" s="27"/>
      <c r="D711" s="27"/>
      <c r="E711" s="27"/>
    </row>
    <row r="712">
      <c r="A712" s="52"/>
      <c r="B712" s="52"/>
      <c r="C712" s="27"/>
      <c r="D712" s="27"/>
      <c r="E712" s="27"/>
    </row>
    <row r="713">
      <c r="A713" s="52"/>
      <c r="B713" s="52"/>
      <c r="C713" s="27"/>
      <c r="D713" s="27"/>
      <c r="E713" s="27"/>
    </row>
    <row r="714">
      <c r="A714" s="52"/>
      <c r="B714" s="52"/>
      <c r="C714" s="27"/>
      <c r="D714" s="27"/>
      <c r="E714" s="27"/>
    </row>
    <row r="715">
      <c r="A715" s="52"/>
      <c r="B715" s="52"/>
      <c r="C715" s="27"/>
      <c r="D715" s="27"/>
      <c r="E715" s="27"/>
    </row>
    <row r="716">
      <c r="A716" s="52"/>
      <c r="B716" s="52"/>
      <c r="C716" s="27"/>
      <c r="D716" s="27"/>
      <c r="E716" s="27"/>
    </row>
    <row r="717">
      <c r="A717" s="52"/>
      <c r="B717" s="52"/>
      <c r="C717" s="27"/>
      <c r="D717" s="27"/>
      <c r="E717" s="27"/>
    </row>
    <row r="718">
      <c r="A718" s="52"/>
      <c r="B718" s="52"/>
      <c r="C718" s="27"/>
      <c r="D718" s="27"/>
      <c r="E718" s="27"/>
    </row>
    <row r="719">
      <c r="A719" s="52"/>
      <c r="B719" s="52"/>
      <c r="C719" s="27"/>
      <c r="D719" s="27"/>
      <c r="E719" s="27"/>
    </row>
    <row r="720">
      <c r="A720" s="52"/>
      <c r="B720" s="52"/>
      <c r="C720" s="27"/>
      <c r="D720" s="27"/>
      <c r="E720" s="27"/>
    </row>
    <row r="721">
      <c r="A721" s="52"/>
      <c r="B721" s="52"/>
      <c r="C721" s="27"/>
      <c r="D721" s="27"/>
      <c r="E721" s="27"/>
    </row>
    <row r="722">
      <c r="A722" s="52"/>
      <c r="B722" s="52"/>
      <c r="C722" s="27"/>
      <c r="D722" s="27"/>
      <c r="E722" s="27"/>
    </row>
    <row r="723">
      <c r="A723" s="52"/>
      <c r="B723" s="52"/>
      <c r="C723" s="27"/>
      <c r="D723" s="27"/>
      <c r="E723" s="27"/>
    </row>
    <row r="724">
      <c r="A724" s="52"/>
      <c r="B724" s="52"/>
      <c r="C724" s="27"/>
      <c r="D724" s="27"/>
      <c r="E724" s="27"/>
    </row>
    <row r="725">
      <c r="A725" s="52"/>
      <c r="B725" s="52"/>
      <c r="C725" s="27"/>
      <c r="D725" s="27"/>
      <c r="E725" s="27"/>
    </row>
    <row r="726">
      <c r="A726" s="52"/>
      <c r="B726" s="52"/>
      <c r="C726" s="27"/>
      <c r="D726" s="27"/>
      <c r="E726" s="27"/>
    </row>
    <row r="727">
      <c r="A727" s="52"/>
      <c r="B727" s="52"/>
      <c r="C727" s="27"/>
      <c r="D727" s="27"/>
      <c r="E727" s="27"/>
    </row>
    <row r="728">
      <c r="A728" s="52"/>
      <c r="B728" s="52"/>
      <c r="C728" s="27"/>
      <c r="D728" s="27"/>
      <c r="E728" s="27"/>
    </row>
    <row r="729">
      <c r="A729" s="52"/>
      <c r="B729" s="52"/>
      <c r="C729" s="27"/>
      <c r="D729" s="27"/>
      <c r="E729" s="27"/>
    </row>
    <row r="730">
      <c r="A730" s="52"/>
      <c r="B730" s="52"/>
      <c r="C730" s="27"/>
      <c r="D730" s="27"/>
      <c r="E730" s="27"/>
    </row>
    <row r="731">
      <c r="A731" s="52"/>
      <c r="B731" s="52"/>
      <c r="C731" s="27"/>
      <c r="D731" s="27"/>
      <c r="E731" s="27"/>
    </row>
    <row r="732">
      <c r="A732" s="52"/>
      <c r="B732" s="52"/>
      <c r="C732" s="27"/>
      <c r="D732" s="27"/>
      <c r="E732" s="27"/>
    </row>
    <row r="733">
      <c r="A733" s="52"/>
      <c r="B733" s="52"/>
      <c r="C733" s="27"/>
      <c r="D733" s="27"/>
      <c r="E733" s="27"/>
    </row>
    <row r="734">
      <c r="A734" s="52"/>
      <c r="B734" s="52"/>
      <c r="C734" s="27"/>
      <c r="D734" s="27"/>
      <c r="E734" s="27"/>
    </row>
    <row r="735">
      <c r="A735" s="52"/>
      <c r="B735" s="52"/>
      <c r="C735" s="27"/>
      <c r="D735" s="27"/>
      <c r="E735" s="27"/>
    </row>
    <row r="736">
      <c r="A736" s="52"/>
      <c r="B736" s="52"/>
      <c r="C736" s="27"/>
      <c r="D736" s="27"/>
      <c r="E736" s="27"/>
    </row>
    <row r="737">
      <c r="A737" s="52"/>
      <c r="B737" s="52"/>
      <c r="C737" s="27"/>
      <c r="D737" s="27"/>
      <c r="E737" s="27"/>
    </row>
    <row r="738">
      <c r="A738" s="52"/>
      <c r="B738" s="52"/>
      <c r="C738" s="27"/>
      <c r="D738" s="27"/>
      <c r="E738" s="27"/>
    </row>
    <row r="739">
      <c r="A739" s="52"/>
      <c r="B739" s="52"/>
      <c r="C739" s="27"/>
      <c r="D739" s="27"/>
      <c r="E739" s="27"/>
    </row>
    <row r="740">
      <c r="A740" s="52"/>
      <c r="B740" s="52"/>
      <c r="C740" s="27"/>
      <c r="D740" s="27"/>
      <c r="E740" s="27"/>
    </row>
    <row r="741">
      <c r="A741" s="52"/>
      <c r="B741" s="52"/>
      <c r="C741" s="27"/>
      <c r="D741" s="27"/>
      <c r="E741" s="27"/>
    </row>
    <row r="742">
      <c r="A742" s="52"/>
      <c r="B742" s="52"/>
      <c r="C742" s="27"/>
      <c r="D742" s="27"/>
      <c r="E742" s="27"/>
    </row>
    <row r="743">
      <c r="A743" s="52"/>
      <c r="B743" s="52"/>
      <c r="C743" s="27"/>
      <c r="D743" s="27"/>
      <c r="E743" s="27"/>
    </row>
    <row r="744">
      <c r="A744" s="52"/>
      <c r="B744" s="52"/>
      <c r="C744" s="27"/>
      <c r="D744" s="27"/>
      <c r="E744" s="27"/>
    </row>
    <row r="745">
      <c r="A745" s="52"/>
      <c r="B745" s="52"/>
      <c r="C745" s="27"/>
      <c r="D745" s="27"/>
      <c r="E745" s="27"/>
    </row>
    <row r="746">
      <c r="A746" s="52"/>
      <c r="B746" s="52"/>
      <c r="C746" s="27"/>
      <c r="D746" s="27"/>
      <c r="E746" s="27"/>
    </row>
    <row r="747">
      <c r="A747" s="52"/>
      <c r="B747" s="52"/>
      <c r="C747" s="27"/>
      <c r="D747" s="27"/>
      <c r="E747" s="27"/>
    </row>
    <row r="748">
      <c r="A748" s="52"/>
      <c r="B748" s="52"/>
      <c r="C748" s="27"/>
      <c r="D748" s="27"/>
      <c r="E748" s="27"/>
    </row>
    <row r="749">
      <c r="A749" s="52"/>
      <c r="B749" s="52"/>
      <c r="C749" s="27"/>
      <c r="D749" s="27"/>
      <c r="E749" s="27"/>
    </row>
    <row r="750">
      <c r="A750" s="52"/>
      <c r="B750" s="52"/>
      <c r="C750" s="27"/>
      <c r="D750" s="27"/>
      <c r="E750" s="27"/>
    </row>
    <row r="751">
      <c r="A751" s="52"/>
      <c r="B751" s="52"/>
      <c r="C751" s="27"/>
      <c r="D751" s="27"/>
      <c r="E751" s="27"/>
    </row>
    <row r="752">
      <c r="A752" s="52"/>
      <c r="B752" s="52"/>
      <c r="C752" s="27"/>
      <c r="D752" s="27"/>
      <c r="E752" s="27"/>
    </row>
    <row r="753">
      <c r="A753" s="52"/>
      <c r="B753" s="52"/>
      <c r="C753" s="27"/>
      <c r="D753" s="27"/>
      <c r="E753" s="27"/>
    </row>
    <row r="754">
      <c r="A754" s="52"/>
      <c r="B754" s="52"/>
      <c r="C754" s="27"/>
      <c r="D754" s="27"/>
      <c r="E754" s="27"/>
    </row>
    <row r="755">
      <c r="A755" s="52"/>
      <c r="B755" s="52"/>
      <c r="C755" s="27"/>
      <c r="D755" s="27"/>
      <c r="E755" s="27"/>
    </row>
    <row r="756">
      <c r="A756" s="52"/>
      <c r="B756" s="52"/>
      <c r="C756" s="27"/>
      <c r="D756" s="27"/>
      <c r="E756" s="27"/>
    </row>
    <row r="757">
      <c r="A757" s="52"/>
      <c r="B757" s="52"/>
      <c r="C757" s="27"/>
      <c r="D757" s="27"/>
      <c r="E757" s="27"/>
    </row>
    <row r="758">
      <c r="A758" s="52"/>
      <c r="B758" s="52"/>
      <c r="C758" s="27"/>
      <c r="D758" s="27"/>
      <c r="E758" s="27"/>
    </row>
    <row r="759">
      <c r="A759" s="52"/>
      <c r="B759" s="52"/>
      <c r="C759" s="27"/>
      <c r="D759" s="27"/>
      <c r="E759" s="27"/>
    </row>
    <row r="760">
      <c r="A760" s="52"/>
      <c r="B760" s="52"/>
      <c r="C760" s="27"/>
      <c r="D760" s="27"/>
      <c r="E760" s="27"/>
    </row>
    <row r="761">
      <c r="A761" s="52"/>
      <c r="B761" s="52"/>
      <c r="C761" s="27"/>
      <c r="D761" s="27"/>
      <c r="E761" s="27"/>
    </row>
    <row r="762">
      <c r="A762" s="52"/>
      <c r="B762" s="52"/>
      <c r="C762" s="27"/>
      <c r="D762" s="27"/>
      <c r="E762" s="27"/>
    </row>
    <row r="763">
      <c r="A763" s="52"/>
      <c r="B763" s="52"/>
      <c r="C763" s="27"/>
      <c r="D763" s="27"/>
      <c r="E763" s="27"/>
    </row>
    <row r="764">
      <c r="A764" s="52"/>
      <c r="B764" s="52"/>
      <c r="C764" s="27"/>
      <c r="D764" s="27"/>
      <c r="E764" s="27"/>
    </row>
    <row r="765">
      <c r="A765" s="52"/>
      <c r="B765" s="52"/>
      <c r="C765" s="27"/>
      <c r="D765" s="27"/>
      <c r="E765" s="27"/>
    </row>
    <row r="766">
      <c r="A766" s="52"/>
      <c r="B766" s="52"/>
      <c r="C766" s="27"/>
      <c r="D766" s="27"/>
      <c r="E766" s="27"/>
    </row>
    <row r="767">
      <c r="A767" s="52"/>
      <c r="B767" s="52"/>
      <c r="C767" s="27"/>
      <c r="D767" s="27"/>
      <c r="E767" s="27"/>
    </row>
    <row r="768">
      <c r="A768" s="52"/>
      <c r="B768" s="52"/>
      <c r="C768" s="27"/>
      <c r="D768" s="27"/>
      <c r="E768" s="27"/>
    </row>
    <row r="769">
      <c r="A769" s="52"/>
      <c r="B769" s="52"/>
      <c r="C769" s="27"/>
      <c r="D769" s="27"/>
      <c r="E769" s="27"/>
    </row>
    <row r="770">
      <c r="A770" s="52"/>
      <c r="B770" s="52"/>
      <c r="C770" s="27"/>
      <c r="D770" s="27"/>
      <c r="E770" s="27"/>
    </row>
    <row r="771">
      <c r="A771" s="52"/>
      <c r="B771" s="52"/>
      <c r="C771" s="27"/>
      <c r="D771" s="27"/>
      <c r="E771" s="27"/>
    </row>
    <row r="772">
      <c r="A772" s="52"/>
      <c r="B772" s="52"/>
      <c r="C772" s="27"/>
      <c r="D772" s="27"/>
      <c r="E772" s="27"/>
    </row>
    <row r="773">
      <c r="A773" s="52"/>
      <c r="B773" s="52"/>
      <c r="C773" s="27"/>
      <c r="D773" s="27"/>
      <c r="E773" s="27"/>
    </row>
    <row r="774">
      <c r="A774" s="52"/>
      <c r="B774" s="52"/>
      <c r="C774" s="27"/>
      <c r="D774" s="27"/>
      <c r="E774" s="27"/>
    </row>
    <row r="775">
      <c r="A775" s="52"/>
      <c r="B775" s="52"/>
      <c r="C775" s="27"/>
      <c r="D775" s="27"/>
      <c r="E775" s="27"/>
    </row>
    <row r="776">
      <c r="A776" s="52"/>
      <c r="B776" s="52"/>
      <c r="C776" s="27"/>
      <c r="D776" s="27"/>
      <c r="E776" s="27"/>
    </row>
    <row r="777">
      <c r="A777" s="52"/>
      <c r="B777" s="52"/>
      <c r="C777" s="27"/>
      <c r="D777" s="27"/>
      <c r="E777" s="27"/>
    </row>
    <row r="778">
      <c r="A778" s="52"/>
      <c r="B778" s="52"/>
      <c r="C778" s="27"/>
      <c r="D778" s="27"/>
      <c r="E778" s="27"/>
    </row>
    <row r="779">
      <c r="A779" s="52"/>
      <c r="B779" s="52"/>
      <c r="C779" s="27"/>
      <c r="D779" s="27"/>
      <c r="E779" s="27"/>
    </row>
    <row r="780">
      <c r="A780" s="52"/>
      <c r="B780" s="52"/>
      <c r="C780" s="27"/>
      <c r="D780" s="27"/>
      <c r="E780" s="27"/>
    </row>
    <row r="781">
      <c r="A781" s="52"/>
      <c r="B781" s="52"/>
      <c r="C781" s="27"/>
      <c r="D781" s="27"/>
      <c r="E781" s="27"/>
    </row>
    <row r="782">
      <c r="A782" s="52"/>
      <c r="B782" s="52"/>
      <c r="C782" s="27"/>
      <c r="D782" s="27"/>
      <c r="E782" s="27"/>
    </row>
    <row r="783">
      <c r="A783" s="52"/>
      <c r="B783" s="52"/>
      <c r="C783" s="27"/>
      <c r="D783" s="27"/>
      <c r="E783" s="27"/>
    </row>
    <row r="784">
      <c r="A784" s="52"/>
      <c r="B784" s="52"/>
      <c r="C784" s="27"/>
      <c r="D784" s="27"/>
      <c r="E784" s="27"/>
    </row>
    <row r="785">
      <c r="A785" s="52"/>
      <c r="B785" s="52"/>
      <c r="C785" s="27"/>
      <c r="D785" s="27"/>
      <c r="E785" s="27"/>
    </row>
    <row r="786">
      <c r="A786" s="52"/>
      <c r="B786" s="52"/>
      <c r="C786" s="27"/>
      <c r="D786" s="27"/>
      <c r="E786" s="27"/>
    </row>
    <row r="787">
      <c r="A787" s="52"/>
      <c r="B787" s="52"/>
      <c r="C787" s="27"/>
      <c r="D787" s="27"/>
      <c r="E787" s="27"/>
    </row>
    <row r="788">
      <c r="A788" s="52"/>
      <c r="B788" s="52"/>
      <c r="C788" s="27"/>
      <c r="D788" s="27"/>
      <c r="E788" s="27"/>
    </row>
    <row r="789">
      <c r="A789" s="52"/>
      <c r="B789" s="52"/>
      <c r="C789" s="27"/>
      <c r="D789" s="27"/>
      <c r="E789" s="27"/>
    </row>
    <row r="790">
      <c r="A790" s="52"/>
      <c r="B790" s="52"/>
      <c r="C790" s="27"/>
      <c r="D790" s="27"/>
      <c r="E790" s="27"/>
    </row>
    <row r="791">
      <c r="A791" s="52"/>
      <c r="B791" s="52"/>
      <c r="C791" s="27"/>
      <c r="D791" s="27"/>
      <c r="E791" s="27"/>
    </row>
    <row r="792">
      <c r="A792" s="52"/>
      <c r="B792" s="52"/>
      <c r="C792" s="27"/>
      <c r="D792" s="27"/>
      <c r="E792" s="27"/>
    </row>
    <row r="793">
      <c r="A793" s="52"/>
      <c r="B793" s="52"/>
      <c r="C793" s="27"/>
      <c r="D793" s="27"/>
      <c r="E793" s="27"/>
    </row>
    <row r="794">
      <c r="A794" s="52"/>
      <c r="B794" s="52"/>
      <c r="C794" s="27"/>
      <c r="D794" s="27"/>
      <c r="E794" s="27"/>
    </row>
    <row r="795">
      <c r="A795" s="52"/>
      <c r="B795" s="52"/>
      <c r="C795" s="27"/>
      <c r="D795" s="27"/>
      <c r="E795" s="27"/>
    </row>
    <row r="796">
      <c r="A796" s="52"/>
      <c r="B796" s="52"/>
      <c r="C796" s="27"/>
      <c r="D796" s="27"/>
      <c r="E796" s="27"/>
    </row>
    <row r="797">
      <c r="A797" s="52"/>
      <c r="B797" s="52"/>
      <c r="C797" s="27"/>
      <c r="D797" s="27"/>
      <c r="E797" s="27"/>
    </row>
    <row r="798">
      <c r="A798" s="52"/>
      <c r="B798" s="52"/>
      <c r="C798" s="27"/>
      <c r="D798" s="27"/>
      <c r="E798" s="27"/>
    </row>
    <row r="799">
      <c r="A799" s="52"/>
      <c r="B799" s="52"/>
      <c r="C799" s="27"/>
      <c r="D799" s="27"/>
      <c r="E799" s="27"/>
    </row>
    <row r="800">
      <c r="A800" s="52"/>
      <c r="B800" s="52"/>
      <c r="C800" s="27"/>
      <c r="D800" s="27"/>
      <c r="E800" s="27"/>
    </row>
    <row r="801">
      <c r="A801" s="52"/>
      <c r="B801" s="52"/>
      <c r="C801" s="27"/>
      <c r="D801" s="27"/>
      <c r="E801" s="27"/>
    </row>
    <row r="802">
      <c r="A802" s="52"/>
      <c r="B802" s="52"/>
      <c r="C802" s="27"/>
      <c r="D802" s="27"/>
      <c r="E802" s="27"/>
    </row>
    <row r="803">
      <c r="A803" s="52"/>
      <c r="B803" s="52"/>
      <c r="C803" s="27"/>
      <c r="D803" s="27"/>
      <c r="E803" s="27"/>
    </row>
    <row r="804">
      <c r="A804" s="52"/>
      <c r="B804" s="52"/>
      <c r="C804" s="27"/>
      <c r="D804" s="27"/>
      <c r="E804" s="27"/>
    </row>
    <row r="805">
      <c r="A805" s="52"/>
      <c r="B805" s="52"/>
      <c r="C805" s="27"/>
      <c r="D805" s="27"/>
      <c r="E805" s="27"/>
    </row>
    <row r="806">
      <c r="A806" s="52"/>
      <c r="B806" s="52"/>
      <c r="C806" s="27"/>
      <c r="D806" s="27"/>
      <c r="E806" s="27"/>
    </row>
    <row r="807">
      <c r="A807" s="52"/>
      <c r="B807" s="52"/>
      <c r="C807" s="27"/>
      <c r="D807" s="27"/>
      <c r="E807" s="27"/>
    </row>
    <row r="808">
      <c r="A808" s="52"/>
      <c r="B808" s="52"/>
      <c r="C808" s="27"/>
      <c r="D808" s="27"/>
      <c r="E808" s="27"/>
    </row>
    <row r="809">
      <c r="A809" s="52"/>
      <c r="B809" s="52"/>
      <c r="C809" s="27"/>
      <c r="D809" s="27"/>
      <c r="E809" s="27"/>
    </row>
    <row r="810">
      <c r="A810" s="52"/>
      <c r="B810" s="52"/>
      <c r="C810" s="27"/>
      <c r="D810" s="27"/>
      <c r="E810" s="27"/>
    </row>
    <row r="811">
      <c r="A811" s="52"/>
      <c r="B811" s="52"/>
      <c r="C811" s="27"/>
      <c r="D811" s="27"/>
      <c r="E811" s="27"/>
    </row>
    <row r="812">
      <c r="A812" s="52"/>
      <c r="B812" s="52"/>
      <c r="C812" s="27"/>
      <c r="D812" s="27"/>
      <c r="E812" s="27"/>
    </row>
    <row r="813">
      <c r="A813" s="52"/>
      <c r="B813" s="52"/>
      <c r="C813" s="27"/>
      <c r="D813" s="27"/>
      <c r="E813" s="27"/>
    </row>
    <row r="814">
      <c r="A814" s="52"/>
      <c r="B814" s="52"/>
      <c r="C814" s="27"/>
      <c r="D814" s="27"/>
      <c r="E814" s="27"/>
    </row>
    <row r="815">
      <c r="A815" s="52"/>
      <c r="B815" s="52"/>
      <c r="C815" s="27"/>
      <c r="D815" s="27"/>
      <c r="E815" s="27"/>
    </row>
    <row r="816">
      <c r="A816" s="52"/>
      <c r="B816" s="52"/>
      <c r="C816" s="27"/>
      <c r="D816" s="27"/>
      <c r="E816" s="27"/>
    </row>
    <row r="817">
      <c r="A817" s="52"/>
      <c r="B817" s="52"/>
      <c r="C817" s="27"/>
      <c r="D817" s="27"/>
      <c r="E817" s="27"/>
    </row>
    <row r="818">
      <c r="A818" s="52"/>
      <c r="B818" s="52"/>
      <c r="C818" s="27"/>
      <c r="D818" s="27"/>
      <c r="E818" s="27"/>
    </row>
    <row r="819">
      <c r="A819" s="52"/>
      <c r="B819" s="52"/>
      <c r="C819" s="27"/>
      <c r="D819" s="27"/>
      <c r="E819" s="27"/>
    </row>
    <row r="820">
      <c r="A820" s="52"/>
      <c r="B820" s="52"/>
      <c r="C820" s="27"/>
      <c r="D820" s="27"/>
      <c r="E820" s="27"/>
    </row>
    <row r="821">
      <c r="A821" s="52"/>
      <c r="B821" s="52"/>
      <c r="C821" s="27"/>
      <c r="D821" s="27"/>
      <c r="E821" s="27"/>
    </row>
    <row r="822">
      <c r="A822" s="52"/>
      <c r="B822" s="52"/>
      <c r="C822" s="27"/>
      <c r="D822" s="27"/>
      <c r="E822" s="27"/>
    </row>
    <row r="823">
      <c r="A823" s="52"/>
      <c r="B823" s="52"/>
      <c r="C823" s="27"/>
      <c r="D823" s="27"/>
      <c r="E823" s="27"/>
    </row>
    <row r="824">
      <c r="A824" s="52"/>
      <c r="B824" s="52"/>
      <c r="C824" s="27"/>
      <c r="D824" s="27"/>
      <c r="E824" s="27"/>
    </row>
    <row r="825">
      <c r="A825" s="52"/>
      <c r="B825" s="52"/>
      <c r="C825" s="27"/>
      <c r="D825" s="27"/>
      <c r="E825" s="27"/>
    </row>
    <row r="826">
      <c r="A826" s="52"/>
      <c r="B826" s="52"/>
      <c r="C826" s="27"/>
      <c r="D826" s="27"/>
      <c r="E826" s="27"/>
    </row>
    <row r="827">
      <c r="A827" s="52"/>
      <c r="B827" s="52"/>
      <c r="C827" s="27"/>
      <c r="D827" s="27"/>
      <c r="E827" s="27"/>
    </row>
    <row r="828">
      <c r="A828" s="52"/>
      <c r="B828" s="52"/>
      <c r="C828" s="27"/>
      <c r="D828" s="27"/>
      <c r="E828" s="27"/>
    </row>
    <row r="829">
      <c r="A829" s="52"/>
      <c r="B829" s="52"/>
      <c r="C829" s="27"/>
      <c r="D829" s="27"/>
      <c r="E829" s="27"/>
    </row>
    <row r="830">
      <c r="A830" s="52"/>
      <c r="B830" s="52"/>
      <c r="C830" s="27"/>
      <c r="D830" s="27"/>
      <c r="E830" s="27"/>
    </row>
    <row r="831">
      <c r="A831" s="52"/>
      <c r="B831" s="52"/>
      <c r="C831" s="27"/>
      <c r="D831" s="27"/>
      <c r="E831" s="27"/>
    </row>
    <row r="832">
      <c r="A832" s="52"/>
      <c r="B832" s="52"/>
      <c r="C832" s="27"/>
      <c r="D832" s="27"/>
      <c r="E832" s="27"/>
    </row>
    <row r="833">
      <c r="A833" s="52"/>
      <c r="B833" s="52"/>
      <c r="C833" s="27"/>
      <c r="D833" s="27"/>
      <c r="E833" s="27"/>
    </row>
    <row r="834">
      <c r="A834" s="52"/>
      <c r="B834" s="52"/>
      <c r="C834" s="27"/>
      <c r="D834" s="27"/>
      <c r="E834" s="27"/>
    </row>
    <row r="835">
      <c r="A835" s="52"/>
      <c r="B835" s="52"/>
      <c r="C835" s="27"/>
      <c r="D835" s="27"/>
      <c r="E835" s="27"/>
    </row>
    <row r="836">
      <c r="A836" s="52"/>
      <c r="B836" s="52"/>
      <c r="C836" s="27"/>
      <c r="D836" s="27"/>
      <c r="E836" s="27"/>
    </row>
    <row r="837">
      <c r="A837" s="52"/>
      <c r="B837" s="52"/>
      <c r="C837" s="27"/>
      <c r="D837" s="27"/>
      <c r="E837" s="27"/>
    </row>
    <row r="838">
      <c r="A838" s="52"/>
      <c r="B838" s="52"/>
      <c r="C838" s="27"/>
      <c r="D838" s="27"/>
      <c r="E838" s="27"/>
    </row>
    <row r="839">
      <c r="A839" s="52"/>
      <c r="B839" s="52"/>
      <c r="C839" s="27"/>
      <c r="D839" s="27"/>
      <c r="E839" s="27"/>
    </row>
    <row r="840">
      <c r="A840" s="52"/>
      <c r="B840" s="52"/>
      <c r="C840" s="27"/>
      <c r="D840" s="27"/>
      <c r="E840" s="27"/>
    </row>
    <row r="841">
      <c r="A841" s="52"/>
      <c r="B841" s="52"/>
      <c r="C841" s="27"/>
      <c r="D841" s="27"/>
      <c r="E841" s="27"/>
    </row>
    <row r="842">
      <c r="A842" s="52"/>
      <c r="B842" s="52"/>
      <c r="C842" s="27"/>
      <c r="D842" s="27"/>
      <c r="E842" s="27"/>
    </row>
    <row r="843">
      <c r="A843" s="52"/>
      <c r="B843" s="52"/>
      <c r="C843" s="27"/>
      <c r="D843" s="27"/>
      <c r="E843" s="27"/>
    </row>
    <row r="844">
      <c r="A844" s="52"/>
      <c r="B844" s="52"/>
      <c r="C844" s="27"/>
      <c r="D844" s="27"/>
      <c r="E844" s="27"/>
    </row>
    <row r="845">
      <c r="A845" s="52"/>
      <c r="B845" s="52"/>
      <c r="C845" s="27"/>
      <c r="D845" s="27"/>
      <c r="E845" s="27"/>
    </row>
    <row r="846">
      <c r="A846" s="52"/>
      <c r="B846" s="52"/>
      <c r="C846" s="27"/>
      <c r="D846" s="27"/>
      <c r="E846" s="27"/>
    </row>
    <row r="847">
      <c r="A847" s="52"/>
      <c r="B847" s="52"/>
      <c r="C847" s="27"/>
      <c r="D847" s="27"/>
      <c r="E847" s="27"/>
    </row>
    <row r="848">
      <c r="A848" s="52"/>
      <c r="B848" s="52"/>
      <c r="C848" s="27"/>
      <c r="D848" s="27"/>
      <c r="E848" s="27"/>
    </row>
    <row r="849">
      <c r="A849" s="52"/>
      <c r="B849" s="52"/>
      <c r="C849" s="27"/>
      <c r="D849" s="27"/>
      <c r="E849" s="27"/>
    </row>
    <row r="850">
      <c r="A850" s="52"/>
      <c r="B850" s="52"/>
      <c r="C850" s="27"/>
      <c r="D850" s="27"/>
      <c r="E850" s="27"/>
    </row>
    <row r="851">
      <c r="A851" s="52"/>
      <c r="B851" s="52"/>
      <c r="C851" s="27"/>
      <c r="D851" s="27"/>
      <c r="E851" s="27"/>
    </row>
    <row r="852">
      <c r="A852" s="52"/>
      <c r="B852" s="52"/>
      <c r="C852" s="27"/>
      <c r="D852" s="27"/>
      <c r="E852" s="27"/>
    </row>
    <row r="853">
      <c r="A853" s="52"/>
      <c r="B853" s="52"/>
      <c r="C853" s="27"/>
      <c r="D853" s="27"/>
      <c r="E853" s="27"/>
    </row>
    <row r="854">
      <c r="A854" s="52"/>
      <c r="B854" s="52"/>
      <c r="C854" s="27"/>
      <c r="D854" s="27"/>
      <c r="E854" s="27"/>
    </row>
    <row r="855">
      <c r="A855" s="52"/>
      <c r="B855" s="52"/>
      <c r="C855" s="27"/>
      <c r="D855" s="27"/>
      <c r="E855" s="27"/>
    </row>
    <row r="856">
      <c r="A856" s="52"/>
      <c r="B856" s="52"/>
      <c r="C856" s="27"/>
      <c r="D856" s="27"/>
      <c r="E856" s="27"/>
    </row>
    <row r="857">
      <c r="A857" s="52"/>
      <c r="B857" s="52"/>
      <c r="C857" s="27"/>
      <c r="D857" s="27"/>
      <c r="E857" s="27"/>
    </row>
    <row r="858">
      <c r="A858" s="52"/>
      <c r="B858" s="52"/>
      <c r="C858" s="27"/>
      <c r="D858" s="27"/>
      <c r="E858" s="27"/>
    </row>
    <row r="859">
      <c r="A859" s="52"/>
      <c r="B859" s="52"/>
      <c r="C859" s="27"/>
      <c r="D859" s="27"/>
      <c r="E859" s="27"/>
    </row>
    <row r="860">
      <c r="A860" s="52"/>
      <c r="B860" s="52"/>
      <c r="C860" s="27"/>
      <c r="D860" s="27"/>
      <c r="E860" s="27"/>
    </row>
    <row r="861">
      <c r="A861" s="52"/>
      <c r="B861" s="52"/>
      <c r="C861" s="27"/>
      <c r="D861" s="27"/>
      <c r="E861" s="27"/>
    </row>
    <row r="862">
      <c r="A862" s="52"/>
      <c r="B862" s="52"/>
      <c r="C862" s="27"/>
      <c r="D862" s="27"/>
      <c r="E862" s="27"/>
    </row>
    <row r="863">
      <c r="A863" s="52"/>
      <c r="B863" s="52"/>
      <c r="C863" s="27"/>
      <c r="D863" s="27"/>
      <c r="E863" s="27"/>
    </row>
    <row r="864">
      <c r="A864" s="52"/>
      <c r="B864" s="52"/>
      <c r="C864" s="27"/>
      <c r="D864" s="27"/>
      <c r="E864" s="27"/>
    </row>
    <row r="865">
      <c r="A865" s="52"/>
      <c r="B865" s="52"/>
      <c r="C865" s="27"/>
      <c r="D865" s="27"/>
      <c r="E865" s="27"/>
    </row>
    <row r="866">
      <c r="A866" s="52"/>
      <c r="B866" s="52"/>
      <c r="C866" s="27"/>
      <c r="D866" s="27"/>
      <c r="E866" s="27"/>
    </row>
    <row r="867">
      <c r="A867" s="52"/>
      <c r="B867" s="52"/>
      <c r="C867" s="27"/>
      <c r="D867" s="27"/>
      <c r="E867" s="27"/>
    </row>
    <row r="868">
      <c r="A868" s="52"/>
      <c r="B868" s="52"/>
      <c r="C868" s="27"/>
      <c r="D868" s="27"/>
      <c r="E868" s="27"/>
    </row>
    <row r="869">
      <c r="A869" s="52"/>
      <c r="B869" s="52"/>
      <c r="C869" s="27"/>
      <c r="D869" s="27"/>
      <c r="E869" s="27"/>
    </row>
    <row r="870">
      <c r="A870" s="52"/>
      <c r="B870" s="52"/>
      <c r="C870" s="27"/>
      <c r="D870" s="27"/>
      <c r="E870" s="27"/>
    </row>
    <row r="871">
      <c r="A871" s="52"/>
      <c r="B871" s="52"/>
      <c r="C871" s="27"/>
      <c r="D871" s="27"/>
      <c r="E871" s="27"/>
    </row>
    <row r="872">
      <c r="A872" s="52"/>
      <c r="B872" s="52"/>
      <c r="C872" s="27"/>
      <c r="D872" s="27"/>
      <c r="E872" s="27"/>
    </row>
    <row r="873">
      <c r="A873" s="52"/>
      <c r="B873" s="52"/>
      <c r="C873" s="27"/>
      <c r="D873" s="27"/>
      <c r="E873" s="27"/>
    </row>
    <row r="874">
      <c r="A874" s="52"/>
      <c r="B874" s="52"/>
      <c r="C874" s="27"/>
      <c r="D874" s="27"/>
      <c r="E874" s="27"/>
    </row>
    <row r="875">
      <c r="A875" s="52"/>
      <c r="B875" s="52"/>
      <c r="C875" s="27"/>
      <c r="D875" s="27"/>
      <c r="E875" s="27"/>
    </row>
    <row r="876">
      <c r="A876" s="52"/>
      <c r="B876" s="52"/>
      <c r="C876" s="27"/>
      <c r="D876" s="27"/>
      <c r="E876" s="27"/>
    </row>
    <row r="877">
      <c r="A877" s="52"/>
      <c r="B877" s="52"/>
      <c r="C877" s="27"/>
      <c r="D877" s="27"/>
      <c r="E877" s="27"/>
    </row>
    <row r="878">
      <c r="A878" s="52"/>
      <c r="B878" s="52"/>
      <c r="C878" s="27"/>
      <c r="D878" s="27"/>
      <c r="E878" s="27"/>
    </row>
    <row r="879">
      <c r="A879" s="52"/>
      <c r="B879" s="52"/>
      <c r="C879" s="27"/>
      <c r="D879" s="27"/>
      <c r="E879" s="27"/>
    </row>
    <row r="880">
      <c r="A880" s="52"/>
      <c r="B880" s="52"/>
      <c r="C880" s="27"/>
      <c r="D880" s="27"/>
      <c r="E880" s="27"/>
    </row>
    <row r="881">
      <c r="A881" s="52"/>
      <c r="B881" s="52"/>
      <c r="C881" s="27"/>
      <c r="D881" s="27"/>
      <c r="E881" s="27"/>
    </row>
    <row r="882">
      <c r="A882" s="52"/>
      <c r="B882" s="52"/>
      <c r="C882" s="27"/>
      <c r="D882" s="27"/>
      <c r="E882" s="27"/>
    </row>
    <row r="883">
      <c r="A883" s="52"/>
      <c r="B883" s="52"/>
      <c r="C883" s="27"/>
      <c r="D883" s="27"/>
      <c r="E883" s="27"/>
    </row>
    <row r="884">
      <c r="A884" s="52"/>
      <c r="B884" s="52"/>
      <c r="C884" s="27"/>
      <c r="D884" s="27"/>
      <c r="E884" s="27"/>
    </row>
    <row r="885">
      <c r="A885" s="52"/>
      <c r="B885" s="52"/>
      <c r="C885" s="27"/>
      <c r="D885" s="27"/>
      <c r="E885" s="27"/>
    </row>
    <row r="886">
      <c r="A886" s="52"/>
      <c r="B886" s="52"/>
      <c r="C886" s="27"/>
      <c r="D886" s="27"/>
      <c r="E886" s="27"/>
    </row>
    <row r="887">
      <c r="A887" s="52"/>
      <c r="B887" s="52"/>
      <c r="C887" s="27"/>
      <c r="D887" s="27"/>
      <c r="E887" s="27"/>
    </row>
    <row r="888">
      <c r="A888" s="52"/>
      <c r="B888" s="52"/>
      <c r="C888" s="27"/>
      <c r="D888" s="27"/>
      <c r="E888" s="27"/>
    </row>
    <row r="889">
      <c r="A889" s="52"/>
      <c r="B889" s="52"/>
      <c r="C889" s="27"/>
      <c r="D889" s="27"/>
      <c r="E889" s="27"/>
    </row>
    <row r="890">
      <c r="A890" s="52"/>
      <c r="B890" s="52"/>
      <c r="C890" s="27"/>
      <c r="D890" s="27"/>
      <c r="E890" s="27"/>
    </row>
    <row r="891">
      <c r="A891" s="52"/>
      <c r="B891" s="52"/>
      <c r="C891" s="27"/>
      <c r="D891" s="27"/>
      <c r="E891" s="27"/>
    </row>
    <row r="892">
      <c r="A892" s="52"/>
      <c r="B892" s="52"/>
      <c r="C892" s="27"/>
      <c r="D892" s="27"/>
      <c r="E892" s="27"/>
    </row>
    <row r="893">
      <c r="A893" s="52"/>
      <c r="B893" s="52"/>
      <c r="C893" s="27"/>
      <c r="D893" s="27"/>
      <c r="E893" s="27"/>
    </row>
    <row r="894">
      <c r="A894" s="52"/>
      <c r="B894" s="52"/>
      <c r="C894" s="27"/>
      <c r="D894" s="27"/>
      <c r="E894" s="27"/>
    </row>
    <row r="895">
      <c r="A895" s="52"/>
      <c r="B895" s="52"/>
      <c r="C895" s="27"/>
      <c r="D895" s="27"/>
      <c r="E895" s="27"/>
    </row>
    <row r="896">
      <c r="A896" s="52"/>
      <c r="B896" s="52"/>
      <c r="C896" s="27"/>
      <c r="D896" s="27"/>
      <c r="E896" s="27"/>
    </row>
    <row r="897">
      <c r="A897" s="52"/>
      <c r="B897" s="52"/>
      <c r="C897" s="27"/>
      <c r="D897" s="27"/>
      <c r="E897" s="27"/>
    </row>
    <row r="898">
      <c r="A898" s="52"/>
      <c r="B898" s="52"/>
      <c r="C898" s="27"/>
      <c r="D898" s="27"/>
      <c r="E898" s="27"/>
    </row>
    <row r="899">
      <c r="A899" s="52"/>
      <c r="B899" s="52"/>
      <c r="C899" s="27"/>
      <c r="D899" s="27"/>
      <c r="E899" s="27"/>
    </row>
    <row r="900">
      <c r="A900" s="52"/>
      <c r="B900" s="52"/>
      <c r="C900" s="27"/>
      <c r="D900" s="27"/>
      <c r="E900" s="27"/>
    </row>
    <row r="901">
      <c r="A901" s="52"/>
      <c r="B901" s="52"/>
      <c r="C901" s="27"/>
      <c r="D901" s="27"/>
      <c r="E901" s="27"/>
    </row>
    <row r="902">
      <c r="A902" s="52"/>
      <c r="B902" s="52"/>
      <c r="C902" s="27"/>
      <c r="D902" s="27"/>
      <c r="E902" s="27"/>
    </row>
    <row r="903">
      <c r="A903" s="52"/>
      <c r="B903" s="52"/>
      <c r="C903" s="27"/>
      <c r="D903" s="27"/>
      <c r="E903" s="27"/>
    </row>
    <row r="904">
      <c r="A904" s="52"/>
      <c r="B904" s="52"/>
      <c r="C904" s="27"/>
      <c r="D904" s="27"/>
      <c r="E904" s="27"/>
    </row>
    <row r="905">
      <c r="A905" s="52"/>
      <c r="B905" s="52"/>
      <c r="C905" s="27"/>
      <c r="D905" s="27"/>
      <c r="E905" s="27"/>
    </row>
    <row r="906">
      <c r="A906" s="52"/>
      <c r="B906" s="52"/>
      <c r="C906" s="27"/>
      <c r="D906" s="27"/>
      <c r="E906" s="27"/>
    </row>
    <row r="907">
      <c r="A907" s="52"/>
      <c r="B907" s="52"/>
      <c r="C907" s="27"/>
      <c r="D907" s="27"/>
      <c r="E907" s="27"/>
    </row>
    <row r="908">
      <c r="A908" s="52"/>
      <c r="B908" s="52"/>
      <c r="C908" s="27"/>
      <c r="D908" s="27"/>
      <c r="E908" s="27"/>
    </row>
    <row r="909">
      <c r="A909" s="52"/>
      <c r="B909" s="52"/>
      <c r="C909" s="27"/>
      <c r="D909" s="27"/>
      <c r="E909" s="27"/>
    </row>
    <row r="910">
      <c r="A910" s="52"/>
      <c r="B910" s="52"/>
      <c r="C910" s="27"/>
      <c r="D910" s="27"/>
      <c r="E910" s="27"/>
    </row>
    <row r="911">
      <c r="A911" s="52"/>
      <c r="B911" s="52"/>
      <c r="C911" s="27"/>
      <c r="D911" s="27"/>
      <c r="E911" s="27"/>
    </row>
    <row r="912">
      <c r="A912" s="52"/>
      <c r="B912" s="52"/>
      <c r="C912" s="27"/>
      <c r="D912" s="27"/>
      <c r="E912" s="27"/>
    </row>
    <row r="913">
      <c r="A913" s="52"/>
      <c r="B913" s="52"/>
      <c r="C913" s="27"/>
      <c r="D913" s="27"/>
      <c r="E913" s="27"/>
    </row>
    <row r="914">
      <c r="A914" s="52"/>
      <c r="B914" s="52"/>
      <c r="C914" s="27"/>
      <c r="D914" s="27"/>
      <c r="E914" s="27"/>
    </row>
    <row r="915">
      <c r="A915" s="52"/>
      <c r="B915" s="52"/>
      <c r="C915" s="27"/>
      <c r="D915" s="27"/>
      <c r="E915" s="27"/>
    </row>
    <row r="916">
      <c r="A916" s="52"/>
      <c r="B916" s="52"/>
      <c r="C916" s="27"/>
      <c r="D916" s="27"/>
      <c r="E916" s="27"/>
    </row>
    <row r="917">
      <c r="A917" s="52"/>
      <c r="B917" s="52"/>
      <c r="C917" s="27"/>
      <c r="D917" s="27"/>
      <c r="E917" s="27"/>
    </row>
    <row r="918">
      <c r="A918" s="52"/>
      <c r="B918" s="52"/>
      <c r="C918" s="27"/>
      <c r="D918" s="27"/>
      <c r="E918" s="27"/>
    </row>
    <row r="919">
      <c r="A919" s="52"/>
      <c r="B919" s="52"/>
      <c r="C919" s="27"/>
      <c r="D919" s="27"/>
      <c r="E919" s="27"/>
    </row>
    <row r="920">
      <c r="A920" s="52"/>
      <c r="B920" s="52"/>
      <c r="C920" s="27"/>
      <c r="D920" s="27"/>
      <c r="E920" s="27"/>
    </row>
    <row r="921">
      <c r="A921" s="52"/>
      <c r="B921" s="52"/>
      <c r="C921" s="27"/>
      <c r="D921" s="27"/>
      <c r="E921" s="27"/>
    </row>
    <row r="922">
      <c r="A922" s="52"/>
      <c r="B922" s="52"/>
      <c r="C922" s="27"/>
      <c r="D922" s="27"/>
      <c r="E922" s="27"/>
    </row>
    <row r="923">
      <c r="A923" s="52"/>
      <c r="B923" s="52"/>
      <c r="C923" s="27"/>
      <c r="D923" s="27"/>
      <c r="E923" s="27"/>
    </row>
    <row r="924">
      <c r="A924" s="52"/>
      <c r="B924" s="52"/>
      <c r="C924" s="27"/>
      <c r="D924" s="27"/>
      <c r="E924" s="27"/>
    </row>
    <row r="925">
      <c r="A925" s="52"/>
      <c r="B925" s="52"/>
      <c r="C925" s="27"/>
      <c r="D925" s="27"/>
      <c r="E925" s="27"/>
    </row>
    <row r="926">
      <c r="A926" s="52"/>
      <c r="B926" s="52"/>
      <c r="C926" s="27"/>
      <c r="D926" s="27"/>
      <c r="E926" s="27"/>
    </row>
    <row r="927">
      <c r="A927" s="52"/>
      <c r="B927" s="52"/>
      <c r="C927" s="27"/>
      <c r="D927" s="27"/>
      <c r="E927" s="27"/>
    </row>
    <row r="928">
      <c r="A928" s="52"/>
      <c r="B928" s="52"/>
      <c r="C928" s="27"/>
      <c r="D928" s="27"/>
      <c r="E928" s="27"/>
    </row>
    <row r="929">
      <c r="A929" s="52"/>
      <c r="B929" s="52"/>
      <c r="C929" s="27"/>
      <c r="D929" s="27"/>
      <c r="E929" s="27"/>
    </row>
    <row r="930">
      <c r="A930" s="52"/>
      <c r="B930" s="52"/>
      <c r="C930" s="27"/>
      <c r="D930" s="27"/>
      <c r="E930" s="27"/>
    </row>
    <row r="931">
      <c r="A931" s="52"/>
      <c r="B931" s="52"/>
      <c r="C931" s="27"/>
      <c r="D931" s="27"/>
      <c r="E931" s="27"/>
    </row>
    <row r="932">
      <c r="A932" s="52"/>
      <c r="B932" s="52"/>
      <c r="C932" s="27"/>
      <c r="D932" s="27"/>
      <c r="E932" s="27"/>
    </row>
    <row r="933">
      <c r="A933" s="52"/>
      <c r="B933" s="52"/>
      <c r="C933" s="27"/>
      <c r="D933" s="27"/>
      <c r="E933" s="27"/>
    </row>
    <row r="934">
      <c r="A934" s="52"/>
      <c r="B934" s="52"/>
      <c r="C934" s="27"/>
      <c r="D934" s="27"/>
      <c r="E934" s="27"/>
    </row>
    <row r="935">
      <c r="A935" s="52"/>
      <c r="B935" s="52"/>
      <c r="C935" s="27"/>
      <c r="D935" s="27"/>
      <c r="E935" s="27"/>
    </row>
    <row r="936">
      <c r="A936" s="52"/>
      <c r="B936" s="52"/>
      <c r="C936" s="27"/>
      <c r="D936" s="27"/>
      <c r="E936" s="27"/>
    </row>
    <row r="937">
      <c r="A937" s="52"/>
      <c r="B937" s="52"/>
      <c r="C937" s="27"/>
      <c r="D937" s="27"/>
      <c r="E937" s="27"/>
    </row>
    <row r="938">
      <c r="A938" s="52"/>
      <c r="B938" s="52"/>
      <c r="C938" s="27"/>
      <c r="D938" s="27"/>
      <c r="E938" s="27"/>
    </row>
    <row r="939">
      <c r="A939" s="52"/>
      <c r="B939" s="52"/>
      <c r="C939" s="27"/>
      <c r="D939" s="27"/>
      <c r="E939" s="27"/>
    </row>
    <row r="940">
      <c r="A940" s="52"/>
      <c r="B940" s="52"/>
      <c r="C940" s="27"/>
      <c r="D940" s="27"/>
      <c r="E940" s="27"/>
    </row>
    <row r="941">
      <c r="A941" s="52"/>
      <c r="B941" s="52"/>
      <c r="C941" s="27"/>
      <c r="D941" s="27"/>
      <c r="E941" s="27"/>
    </row>
    <row r="942">
      <c r="A942" s="52"/>
      <c r="B942" s="52"/>
      <c r="C942" s="27"/>
      <c r="D942" s="27"/>
      <c r="E942" s="27"/>
    </row>
    <row r="943">
      <c r="A943" s="52"/>
      <c r="B943" s="52"/>
      <c r="C943" s="27"/>
      <c r="D943" s="27"/>
      <c r="E943" s="27"/>
    </row>
    <row r="944">
      <c r="A944" s="52"/>
      <c r="B944" s="52"/>
      <c r="C944" s="27"/>
      <c r="D944" s="27"/>
      <c r="E944" s="27"/>
    </row>
    <row r="945">
      <c r="A945" s="52"/>
      <c r="B945" s="52"/>
      <c r="C945" s="27"/>
      <c r="D945" s="27"/>
      <c r="E945" s="27"/>
    </row>
    <row r="946">
      <c r="A946" s="52"/>
      <c r="B946" s="52"/>
      <c r="C946" s="27"/>
      <c r="D946" s="27"/>
      <c r="E946" s="27"/>
    </row>
    <row r="947">
      <c r="A947" s="52"/>
      <c r="B947" s="52"/>
      <c r="C947" s="27"/>
      <c r="D947" s="27"/>
      <c r="E947" s="27"/>
    </row>
    <row r="948">
      <c r="A948" s="52"/>
      <c r="B948" s="52"/>
      <c r="C948" s="27"/>
      <c r="D948" s="27"/>
      <c r="E948" s="27"/>
    </row>
    <row r="949">
      <c r="A949" s="52"/>
      <c r="B949" s="52"/>
      <c r="C949" s="27"/>
      <c r="D949" s="27"/>
      <c r="E949" s="27"/>
    </row>
    <row r="950">
      <c r="A950" s="52"/>
      <c r="B950" s="52"/>
      <c r="C950" s="27"/>
      <c r="D950" s="27"/>
      <c r="E950" s="27"/>
    </row>
    <row r="951">
      <c r="A951" s="52"/>
      <c r="B951" s="52"/>
      <c r="C951" s="27"/>
      <c r="D951" s="27"/>
      <c r="E951" s="27"/>
    </row>
    <row r="952">
      <c r="A952" s="52"/>
      <c r="B952" s="52"/>
      <c r="C952" s="27"/>
      <c r="D952" s="27"/>
      <c r="E952" s="27"/>
    </row>
    <row r="953">
      <c r="A953" s="52"/>
      <c r="B953" s="52"/>
      <c r="C953" s="27"/>
      <c r="D953" s="27"/>
      <c r="E953" s="27"/>
    </row>
    <row r="954">
      <c r="A954" s="52"/>
      <c r="B954" s="52"/>
      <c r="C954" s="27"/>
      <c r="D954" s="27"/>
      <c r="E954" s="27"/>
    </row>
    <row r="955">
      <c r="A955" s="52"/>
      <c r="B955" s="52"/>
      <c r="C955" s="27"/>
      <c r="D955" s="27"/>
      <c r="E955" s="27"/>
    </row>
    <row r="956">
      <c r="A956" s="52"/>
      <c r="B956" s="52"/>
      <c r="C956" s="27"/>
      <c r="D956" s="27"/>
      <c r="E956" s="27"/>
    </row>
    <row r="957">
      <c r="A957" s="52"/>
      <c r="B957" s="52"/>
      <c r="C957" s="27"/>
      <c r="D957" s="27"/>
      <c r="E957" s="27"/>
    </row>
    <row r="958">
      <c r="A958" s="52"/>
      <c r="B958" s="52"/>
      <c r="C958" s="27"/>
      <c r="D958" s="27"/>
      <c r="E958" s="27"/>
    </row>
    <row r="959">
      <c r="A959" s="52"/>
      <c r="B959" s="52"/>
      <c r="C959" s="27"/>
      <c r="D959" s="27"/>
      <c r="E959" s="27"/>
    </row>
    <row r="960">
      <c r="A960" s="52"/>
      <c r="B960" s="52"/>
      <c r="C960" s="27"/>
      <c r="D960" s="27"/>
      <c r="E960" s="27"/>
    </row>
    <row r="961">
      <c r="A961" s="52"/>
      <c r="B961" s="52"/>
      <c r="C961" s="27"/>
      <c r="D961" s="27"/>
      <c r="E961" s="27"/>
    </row>
    <row r="962">
      <c r="A962" s="52"/>
      <c r="B962" s="52"/>
      <c r="C962" s="27"/>
      <c r="D962" s="27"/>
      <c r="E962" s="27"/>
    </row>
    <row r="963">
      <c r="A963" s="52"/>
      <c r="B963" s="52"/>
      <c r="C963" s="27"/>
      <c r="D963" s="27"/>
      <c r="E963" s="27"/>
    </row>
    <row r="964">
      <c r="A964" s="52"/>
      <c r="B964" s="52"/>
      <c r="C964" s="27"/>
      <c r="D964" s="27"/>
      <c r="E964" s="27"/>
    </row>
    <row r="965">
      <c r="A965" s="52"/>
      <c r="B965" s="52"/>
      <c r="C965" s="27"/>
      <c r="D965" s="27"/>
      <c r="E965" s="27"/>
    </row>
    <row r="966">
      <c r="A966" s="52"/>
      <c r="B966" s="52"/>
      <c r="C966" s="27"/>
      <c r="D966" s="27"/>
      <c r="E966" s="27"/>
    </row>
    <row r="967">
      <c r="A967" s="52"/>
      <c r="B967" s="52"/>
      <c r="C967" s="27"/>
      <c r="D967" s="27"/>
      <c r="E967" s="27"/>
    </row>
    <row r="968">
      <c r="A968" s="52"/>
      <c r="B968" s="52"/>
      <c r="C968" s="27"/>
      <c r="D968" s="27"/>
      <c r="E968" s="27"/>
    </row>
    <row r="969">
      <c r="A969" s="52"/>
      <c r="B969" s="52"/>
      <c r="C969" s="27"/>
      <c r="D969" s="27"/>
      <c r="E969" s="27"/>
    </row>
    <row r="970">
      <c r="A970" s="52"/>
      <c r="B970" s="52"/>
      <c r="C970" s="27"/>
      <c r="D970" s="27"/>
      <c r="E970" s="27"/>
    </row>
    <row r="971">
      <c r="A971" s="52"/>
      <c r="B971" s="52"/>
      <c r="C971" s="27"/>
      <c r="D971" s="27"/>
      <c r="E971" s="27"/>
    </row>
    <row r="972">
      <c r="A972" s="52"/>
      <c r="B972" s="52"/>
      <c r="C972" s="27"/>
      <c r="D972" s="27"/>
      <c r="E972" s="27"/>
    </row>
    <row r="973">
      <c r="A973" s="52"/>
      <c r="B973" s="52"/>
      <c r="C973" s="27"/>
      <c r="D973" s="27"/>
      <c r="E973" s="27"/>
    </row>
    <row r="974">
      <c r="A974" s="52"/>
      <c r="B974" s="52"/>
      <c r="C974" s="27"/>
      <c r="D974" s="27"/>
      <c r="E974" s="27"/>
    </row>
    <row r="975">
      <c r="A975" s="52"/>
      <c r="B975" s="52"/>
      <c r="C975" s="27"/>
      <c r="D975" s="27"/>
      <c r="E975" s="27"/>
    </row>
    <row r="976">
      <c r="A976" s="52"/>
      <c r="B976" s="52"/>
      <c r="C976" s="27"/>
      <c r="D976" s="27"/>
      <c r="E976" s="27"/>
    </row>
    <row r="977">
      <c r="A977" s="52"/>
      <c r="B977" s="52"/>
      <c r="C977" s="27"/>
      <c r="D977" s="27"/>
      <c r="E977" s="27"/>
    </row>
    <row r="978">
      <c r="A978" s="52"/>
      <c r="B978" s="52"/>
      <c r="C978" s="27"/>
      <c r="D978" s="27"/>
      <c r="E978" s="27"/>
    </row>
    <row r="979">
      <c r="A979" s="52"/>
      <c r="B979" s="52"/>
      <c r="C979" s="27"/>
      <c r="D979" s="27"/>
      <c r="E979" s="27"/>
    </row>
    <row r="980">
      <c r="A980" s="52"/>
      <c r="B980" s="52"/>
      <c r="C980" s="27"/>
      <c r="D980" s="27"/>
      <c r="E980" s="27"/>
    </row>
    <row r="981">
      <c r="A981" s="52"/>
      <c r="B981" s="52"/>
      <c r="C981" s="27"/>
      <c r="D981" s="27"/>
      <c r="E981" s="27"/>
    </row>
    <row r="982">
      <c r="A982" s="52"/>
      <c r="B982" s="52"/>
      <c r="C982" s="27"/>
      <c r="D982" s="27"/>
      <c r="E982" s="27"/>
    </row>
    <row r="983">
      <c r="A983" s="52"/>
      <c r="B983" s="52"/>
      <c r="C983" s="27"/>
      <c r="D983" s="27"/>
      <c r="E983" s="27"/>
    </row>
    <row r="984">
      <c r="A984" s="52"/>
      <c r="B984" s="52"/>
      <c r="C984" s="27"/>
      <c r="D984" s="27"/>
      <c r="E984" s="27"/>
    </row>
    <row r="985">
      <c r="A985" s="52"/>
      <c r="B985" s="52"/>
      <c r="C985" s="27"/>
      <c r="D985" s="27"/>
      <c r="E985" s="27"/>
    </row>
    <row r="986">
      <c r="A986" s="52"/>
      <c r="B986" s="52"/>
      <c r="C986" s="27"/>
      <c r="D986" s="27"/>
      <c r="E986" s="27"/>
    </row>
    <row r="987">
      <c r="A987" s="52"/>
      <c r="B987" s="52"/>
      <c r="C987" s="27"/>
      <c r="D987" s="27"/>
      <c r="E987" s="27"/>
    </row>
    <row r="988">
      <c r="A988" s="52"/>
      <c r="B988" s="52"/>
      <c r="C988" s="27"/>
      <c r="D988" s="27"/>
      <c r="E988" s="27"/>
    </row>
    <row r="989">
      <c r="A989" s="52"/>
      <c r="B989" s="52"/>
      <c r="C989" s="27"/>
      <c r="D989" s="27"/>
      <c r="E989" s="27"/>
    </row>
    <row r="990">
      <c r="A990" s="52"/>
      <c r="B990" s="52"/>
      <c r="C990" s="27"/>
      <c r="D990" s="27"/>
      <c r="E990" s="27"/>
    </row>
    <row r="991">
      <c r="A991" s="52"/>
      <c r="B991" s="52"/>
      <c r="C991" s="27"/>
      <c r="D991" s="27"/>
      <c r="E991" s="27"/>
    </row>
    <row r="992">
      <c r="A992" s="52"/>
      <c r="B992" s="52"/>
      <c r="C992" s="27"/>
      <c r="D992" s="27"/>
      <c r="E992" s="27"/>
    </row>
    <row r="993">
      <c r="A993" s="52"/>
      <c r="B993" s="52"/>
      <c r="C993" s="27"/>
      <c r="D993" s="27"/>
      <c r="E993" s="27"/>
    </row>
    <row r="994">
      <c r="A994" s="52"/>
      <c r="B994" s="52"/>
      <c r="C994" s="27"/>
      <c r="D994" s="27"/>
      <c r="E994" s="27"/>
    </row>
    <row r="995">
      <c r="A995" s="52"/>
      <c r="B995" s="52"/>
      <c r="C995" s="27"/>
      <c r="D995" s="27"/>
      <c r="E995" s="27"/>
    </row>
    <row r="996">
      <c r="A996" s="52"/>
      <c r="B996" s="52"/>
      <c r="C996" s="27"/>
      <c r="D996" s="27"/>
      <c r="E996" s="27"/>
    </row>
    <row r="997">
      <c r="A997" s="52"/>
      <c r="B997" s="52"/>
      <c r="C997" s="27"/>
      <c r="D997" s="27"/>
      <c r="E997" s="27"/>
    </row>
    <row r="998">
      <c r="A998" s="52"/>
      <c r="B998" s="52"/>
      <c r="C998" s="27"/>
      <c r="D998" s="27"/>
      <c r="E998" s="27"/>
    </row>
    <row r="999">
      <c r="A999" s="52"/>
      <c r="B999" s="52"/>
      <c r="C999" s="27"/>
      <c r="D999" s="27"/>
      <c r="E999" s="27"/>
    </row>
    <row r="1000">
      <c r="A1000" s="52"/>
      <c r="B1000" s="52"/>
      <c r="C1000" s="27"/>
      <c r="D1000" s="27"/>
      <c r="E1000" s="27"/>
    </row>
    <row r="1001">
      <c r="A1001" s="52"/>
      <c r="B1001" s="52"/>
      <c r="C1001" s="27"/>
      <c r="D1001" s="27"/>
      <c r="E1001" s="27"/>
    </row>
    <row r="1002">
      <c r="A1002" s="52"/>
      <c r="B1002" s="52"/>
      <c r="C1002" s="27"/>
      <c r="D1002" s="27"/>
      <c r="E1002" s="27"/>
    </row>
  </sheetData>
  <printOptions gridLines="1" horizontalCentered="1"/>
  <pageMargins bottom="0.75" footer="0.0" header="0.0" left="0.7" right="0.7" top="0.75"/>
  <pageSetup fitToHeight="0" cellComments="atEnd" orientation="landscape" pageOrder="overThenDown"/>
  <drawing r:id="rId1"/>
</worksheet>
</file>